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bsvr01\mikasasystem01\ASPAC\Program\単価表\"/>
    </mc:Choice>
  </mc:AlternateContent>
  <bookViews>
    <workbookView xWindow="930" yWindow="960" windowWidth="9330" windowHeight="2595" firstSheet="1" activeTab="2"/>
  </bookViews>
  <sheets>
    <sheet name="回復済み_Sheet1" sheetId="1" state="veryHidden" r:id="rId1"/>
    <sheet name="価格表１" sheetId="39" r:id="rId2"/>
    <sheet name="価格表２" sheetId="41" r:id="rId3"/>
    <sheet name="価格表３" sheetId="44" r:id="rId4"/>
  </sheets>
  <definedNames>
    <definedName name="_xlnm.Print_Area" localSheetId="1">価格表１!$A$2:$M$67</definedName>
    <definedName name="_xlnm.Print_Area" localSheetId="2">価格表２!$A$2:$K$61</definedName>
    <definedName name="_xlnm.Print_Area" localSheetId="3">価格表３!$A$1:$K$42</definedName>
  </definedNames>
  <calcPr calcId="152511"/>
</workbook>
</file>

<file path=xl/calcChain.xml><?xml version="1.0" encoding="utf-8"?>
<calcChain xmlns="http://schemas.openxmlformats.org/spreadsheetml/2006/main">
  <c r="I4" i="44" l="1"/>
  <c r="K52" i="39"/>
  <c r="J62" i="39"/>
  <c r="E37" i="39"/>
  <c r="K62" i="39"/>
  <c r="F36" i="39"/>
  <c r="C61" i="41"/>
  <c r="C29" i="39"/>
  <c r="L65" i="39"/>
  <c r="E27" i="39"/>
  <c r="C38" i="39"/>
  <c r="B47" i="39"/>
  <c r="F37" i="44"/>
  <c r="E36" i="39"/>
  <c r="E45" i="41"/>
  <c r="E45" i="39"/>
  <c r="F30" i="41"/>
  <c r="G58" i="41"/>
  <c r="K57" i="39"/>
  <c r="D31" i="39"/>
  <c r="G48" i="41"/>
  <c r="B31" i="41"/>
  <c r="H51" i="41"/>
  <c r="D53" i="39"/>
  <c r="C56" i="39"/>
  <c r="F55" i="39"/>
  <c r="F60" i="41"/>
  <c r="L51" i="39"/>
  <c r="I47" i="41"/>
  <c r="F50" i="41"/>
  <c r="B22" i="41"/>
  <c r="F32" i="44"/>
  <c r="B46" i="41"/>
  <c r="I35" i="41"/>
  <c r="I55" i="41"/>
  <c r="B27" i="41"/>
  <c r="H53" i="41"/>
  <c r="G63" i="39"/>
  <c r="C43" i="41"/>
  <c r="K53" i="39"/>
  <c r="E29" i="39"/>
  <c r="C52" i="39"/>
  <c r="I4" i="41"/>
  <c r="C55" i="41"/>
  <c r="B47" i="41"/>
  <c r="G57" i="39"/>
  <c r="M37" i="39"/>
  <c r="E57" i="39"/>
  <c r="F51" i="39"/>
  <c r="G33" i="44"/>
  <c r="C31" i="41"/>
  <c r="G53" i="39"/>
  <c r="E42" i="41"/>
  <c r="F44" i="41"/>
  <c r="B52" i="41"/>
  <c r="E54" i="41"/>
  <c r="G39" i="39"/>
  <c r="I57" i="41"/>
  <c r="L41" i="39"/>
  <c r="L36" i="39"/>
  <c r="C46" i="41"/>
  <c r="L30" i="39"/>
  <c r="L47" i="39"/>
  <c r="F30" i="44"/>
  <c r="G49" i="41"/>
  <c r="A2" i="44"/>
  <c r="F33" i="41"/>
  <c r="B39" i="39"/>
  <c r="G28" i="39"/>
  <c r="J28" i="39"/>
  <c r="C47" i="41"/>
  <c r="E49" i="41"/>
  <c r="E35" i="41"/>
  <c r="M42" i="39"/>
  <c r="G31" i="44"/>
  <c r="F48" i="39"/>
  <c r="D24" i="44"/>
  <c r="H48" i="41"/>
  <c r="M62" i="39"/>
  <c r="L59" i="39"/>
  <c r="K54" i="39"/>
  <c r="C39" i="41"/>
  <c r="C50" i="41"/>
  <c r="I29" i="39"/>
  <c r="J26" i="39"/>
  <c r="C58" i="41"/>
  <c r="L57" i="39"/>
  <c r="B35" i="41"/>
  <c r="F46" i="41"/>
  <c r="A4" i="44"/>
  <c r="H45" i="41"/>
  <c r="D44" i="41"/>
  <c r="K56" i="39"/>
  <c r="E38" i="39"/>
  <c r="E24" i="39"/>
  <c r="A2" i="39"/>
  <c r="D40" i="41"/>
  <c r="I14" i="41"/>
  <c r="E36" i="41"/>
  <c r="C23" i="44"/>
  <c r="M47" i="39"/>
  <c r="J34" i="39"/>
  <c r="F47" i="41"/>
  <c r="H27" i="39"/>
  <c r="E39" i="39"/>
  <c r="H61" i="41"/>
  <c r="K4" i="39"/>
  <c r="C28" i="41"/>
  <c r="G52" i="39"/>
  <c r="D30" i="39"/>
  <c r="L60" i="39"/>
  <c r="D46" i="39"/>
  <c r="F42" i="41"/>
  <c r="K48" i="39"/>
  <c r="G36" i="44"/>
  <c r="I43" i="41"/>
  <c r="E41" i="41"/>
  <c r="F30" i="39"/>
  <c r="B34" i="39"/>
  <c r="J29" i="39"/>
  <c r="L54" i="39"/>
  <c r="E56" i="39"/>
  <c r="G51" i="39"/>
  <c r="G42" i="39"/>
  <c r="D54" i="39"/>
  <c r="M30" i="39"/>
  <c r="C22" i="41"/>
  <c r="K36" i="39"/>
  <c r="B57" i="41"/>
  <c r="B41" i="39"/>
  <c r="I44" i="41"/>
  <c r="L64" i="39"/>
  <c r="E23" i="39"/>
  <c r="M41" i="39"/>
  <c r="E51" i="39"/>
  <c r="E35" i="39"/>
  <c r="L48" i="39"/>
  <c r="L67" i="39"/>
  <c r="I46" i="41"/>
  <c r="F51" i="41"/>
  <c r="F31" i="39"/>
  <c r="I27" i="39"/>
  <c r="D28" i="44"/>
  <c r="E20" i="39"/>
  <c r="D31" i="41"/>
  <c r="F42" i="39"/>
  <c r="J67" i="39"/>
  <c r="J54" i="39"/>
  <c r="I35" i="39"/>
  <c r="L35" i="39"/>
  <c r="E43" i="39"/>
  <c r="D45" i="39"/>
  <c r="J48" i="39"/>
  <c r="K55" i="39"/>
  <c r="L58" i="39"/>
  <c r="D54" i="41"/>
  <c r="J63" i="39"/>
  <c r="J36" i="39"/>
  <c r="K41" i="39"/>
  <c r="M36" i="39"/>
  <c r="M51" i="39"/>
  <c r="H38" i="41"/>
  <c r="F49" i="41"/>
  <c r="G60" i="41"/>
  <c r="D41" i="41"/>
  <c r="I52" i="41"/>
  <c r="B43" i="41"/>
  <c r="D26" i="39"/>
  <c r="L43" i="39"/>
  <c r="D46" i="41"/>
  <c r="E52" i="41"/>
  <c r="E46" i="41"/>
  <c r="D30" i="41"/>
  <c r="C39" i="39"/>
  <c r="E31" i="39"/>
  <c r="B26" i="44"/>
  <c r="B43" i="39"/>
  <c r="C25" i="41"/>
  <c r="H60" i="41"/>
  <c r="I53" i="41"/>
  <c r="L32" i="39"/>
  <c r="D43" i="39"/>
  <c r="E30" i="39"/>
  <c r="G43" i="39"/>
  <c r="L44" i="39"/>
  <c r="K33" i="39"/>
  <c r="C57" i="39"/>
  <c r="G48" i="39"/>
  <c r="J44" i="39"/>
  <c r="B33" i="39"/>
  <c r="C37" i="41"/>
  <c r="F57" i="39"/>
  <c r="G56" i="39"/>
  <c r="M50" i="39"/>
  <c r="H50" i="41"/>
  <c r="I54" i="41"/>
  <c r="J40" i="39"/>
  <c r="K49" i="39"/>
  <c r="G27" i="39"/>
  <c r="L34" i="39"/>
  <c r="C59" i="41"/>
  <c r="I45" i="41"/>
  <c r="I58" i="41"/>
  <c r="G47" i="41"/>
  <c r="C36" i="39"/>
  <c r="B30" i="41"/>
  <c r="G44" i="39"/>
  <c r="M52" i="39"/>
  <c r="E51" i="41"/>
  <c r="C22" i="44"/>
  <c r="B55" i="39"/>
  <c r="K38" i="39"/>
  <c r="I50" i="41"/>
  <c r="E40" i="39"/>
  <c r="G33" i="41"/>
  <c r="F34" i="44"/>
  <c r="E53" i="41"/>
  <c r="E25" i="44"/>
  <c r="D50" i="41"/>
  <c r="E29" i="44"/>
  <c r="B60" i="41"/>
  <c r="B22" i="44"/>
  <c r="G34" i="39"/>
  <c r="D51" i="39"/>
  <c r="B51" i="41"/>
  <c r="B57" i="39"/>
  <c r="J42" i="39"/>
  <c r="G61" i="41"/>
  <c r="K28" i="39"/>
  <c r="H28" i="39"/>
  <c r="J32" i="39"/>
  <c r="M46" i="39"/>
  <c r="F56" i="39"/>
  <c r="L63" i="39"/>
  <c r="F53" i="39"/>
  <c r="G30" i="39"/>
  <c r="M49" i="39"/>
  <c r="D52" i="41"/>
  <c r="H47" i="41"/>
  <c r="F41" i="39"/>
  <c r="E24" i="44"/>
  <c r="C55" i="39"/>
  <c r="D48" i="39"/>
  <c r="J27" i="39"/>
  <c r="F33" i="39"/>
  <c r="D44" i="39"/>
  <c r="E55" i="41"/>
  <c r="B45" i="41"/>
  <c r="M58" i="39"/>
  <c r="L55" i="39"/>
  <c r="D29" i="41"/>
  <c r="I34" i="41"/>
  <c r="E21" i="39"/>
  <c r="M66" i="39"/>
  <c r="B54" i="41"/>
  <c r="E61" i="41"/>
  <c r="C29" i="41"/>
  <c r="F56" i="41"/>
  <c r="M53" i="39"/>
  <c r="J30" i="39"/>
  <c r="C42" i="39"/>
  <c r="F32" i="39"/>
  <c r="L38" i="39"/>
  <c r="D42" i="41"/>
  <c r="H24" i="39"/>
  <c r="E27" i="44"/>
  <c r="B29" i="39"/>
  <c r="C44" i="41"/>
  <c r="J50" i="39"/>
  <c r="F35" i="44"/>
  <c r="J66" i="39"/>
  <c r="G50" i="41"/>
  <c r="C51" i="39"/>
  <c r="B27" i="44"/>
  <c r="E33" i="41"/>
  <c r="D45" i="41"/>
  <c r="E58" i="41"/>
  <c r="D28" i="41"/>
  <c r="B40" i="39"/>
  <c r="D29" i="39"/>
  <c r="B56" i="41"/>
  <c r="D47" i="41"/>
  <c r="D42" i="39"/>
  <c r="M57" i="39"/>
  <c r="G37" i="39"/>
  <c r="C42" i="41"/>
  <c r="E25" i="39"/>
  <c r="F40" i="39"/>
  <c r="C35" i="39"/>
  <c r="F47" i="39"/>
  <c r="J47" i="39"/>
  <c r="I51" i="41"/>
  <c r="F34" i="39"/>
  <c r="B33" i="41"/>
  <c r="H43" i="41"/>
  <c r="F52" i="39"/>
  <c r="K27" i="39"/>
  <c r="G57" i="41"/>
  <c r="G46" i="39"/>
  <c r="J38" i="39"/>
  <c r="F31" i="44"/>
  <c r="E27" i="41"/>
  <c r="G28" i="44"/>
  <c r="D38" i="39"/>
  <c r="K40" i="39"/>
  <c r="I42" i="41"/>
  <c r="F28" i="39"/>
  <c r="K43" i="39"/>
  <c r="F45" i="41"/>
  <c r="M64" i="39"/>
  <c r="F35" i="39"/>
  <c r="G26" i="44"/>
  <c r="J65" i="39"/>
  <c r="B38" i="41"/>
  <c r="G32" i="44"/>
  <c r="F50" i="39"/>
  <c r="K29" i="39"/>
  <c r="C24" i="41"/>
  <c r="L40" i="39"/>
  <c r="I25" i="39"/>
  <c r="C24" i="44"/>
  <c r="D49" i="41"/>
  <c r="H3" i="44"/>
  <c r="I24" i="39"/>
  <c r="E44" i="39"/>
  <c r="M63" i="39"/>
  <c r="G35" i="44"/>
  <c r="D34" i="41"/>
  <c r="C32" i="39"/>
  <c r="G32" i="41"/>
  <c r="G27" i="44"/>
  <c r="C49" i="41"/>
  <c r="G30" i="44"/>
  <c r="B49" i="39"/>
  <c r="B58" i="41"/>
  <c r="G55" i="41"/>
  <c r="F55" i="41"/>
  <c r="F43" i="39"/>
  <c r="H44" i="41"/>
  <c r="G55" i="39"/>
  <c r="K45" i="39"/>
  <c r="B48" i="39"/>
  <c r="E53" i="39"/>
  <c r="G44" i="41"/>
  <c r="F38" i="39"/>
  <c r="J60" i="39"/>
  <c r="E52" i="39"/>
  <c r="K42" i="39"/>
  <c r="M32" i="39"/>
  <c r="J49" i="39"/>
  <c r="F28" i="44"/>
  <c r="D25" i="39"/>
  <c r="K58" i="39"/>
  <c r="E50" i="41"/>
  <c r="D40" i="39"/>
  <c r="D29" i="44"/>
  <c r="K60" i="39"/>
  <c r="B24" i="41"/>
  <c r="F54" i="39"/>
  <c r="C30" i="39"/>
  <c r="F37" i="39"/>
  <c r="J39" i="39"/>
  <c r="C51" i="41"/>
  <c r="L46" i="39"/>
  <c r="E37" i="41"/>
  <c r="G42" i="41"/>
  <c r="D35" i="41"/>
  <c r="L31" i="39"/>
  <c r="B37" i="41"/>
  <c r="D35" i="39"/>
  <c r="F49" i="39"/>
  <c r="E47" i="39"/>
  <c r="J33" i="39"/>
  <c r="D57" i="39"/>
  <c r="C41" i="39"/>
  <c r="F31" i="41"/>
  <c r="L52" i="39"/>
  <c r="B31" i="39"/>
  <c r="B53" i="41"/>
  <c r="J31" i="39"/>
  <c r="E48" i="39"/>
  <c r="F39" i="41"/>
  <c r="D56" i="39"/>
  <c r="D61" i="41"/>
  <c r="E42" i="39"/>
  <c r="I48" i="41"/>
  <c r="K59" i="39"/>
  <c r="J59" i="39"/>
  <c r="I61" i="41"/>
  <c r="G62" i="39"/>
  <c r="F52" i="41"/>
  <c r="L45" i="39"/>
  <c r="E41" i="39"/>
  <c r="G36" i="39"/>
  <c r="K50" i="39"/>
  <c r="H29" i="39"/>
  <c r="M48" i="39"/>
  <c r="F26" i="39"/>
  <c r="D39" i="41"/>
  <c r="G38" i="39"/>
  <c r="C36" i="41"/>
  <c r="J57" i="39"/>
  <c r="E32" i="39"/>
  <c r="F59" i="39"/>
  <c r="C37" i="39"/>
  <c r="D22" i="39"/>
  <c r="E22" i="39"/>
  <c r="B25" i="41"/>
  <c r="H3" i="41"/>
  <c r="G22" i="39"/>
  <c r="M38" i="39"/>
  <c r="B42" i="41"/>
  <c r="H54" i="41"/>
  <c r="C40" i="39"/>
  <c r="D36" i="39"/>
  <c r="E26" i="39"/>
  <c r="I34" i="39"/>
  <c r="M43" i="39"/>
  <c r="C53" i="39"/>
  <c r="B55" i="41"/>
  <c r="F45" i="39"/>
  <c r="K66" i="39"/>
  <c r="M31" i="39"/>
  <c r="D55" i="39"/>
  <c r="H56" i="41"/>
  <c r="K34" i="39"/>
  <c r="C32" i="41"/>
  <c r="G50" i="39"/>
  <c r="C43" i="39"/>
  <c r="D41" i="39"/>
  <c r="E46" i="39"/>
  <c r="J55" i="39"/>
  <c r="D20" i="39"/>
  <c r="F27" i="44"/>
  <c r="D25" i="44"/>
  <c r="B29" i="41"/>
  <c r="F48" i="41"/>
  <c r="B36" i="39"/>
  <c r="I26" i="39"/>
  <c r="C34" i="41"/>
  <c r="L49" i="39"/>
  <c r="D33" i="39"/>
  <c r="C30" i="41"/>
  <c r="E28" i="39"/>
  <c r="L50" i="39"/>
  <c r="C54" i="39"/>
  <c r="K30" i="39"/>
  <c r="F43" i="41"/>
  <c r="G29" i="39"/>
  <c r="D60" i="41"/>
  <c r="E40" i="41"/>
  <c r="M61" i="39"/>
  <c r="E57" i="41"/>
  <c r="F57" i="41"/>
  <c r="F29" i="44"/>
  <c r="E34" i="39"/>
  <c r="B59" i="41"/>
  <c r="C57" i="41"/>
  <c r="B35" i="39"/>
  <c r="I38" i="41"/>
  <c r="I49" i="41"/>
  <c r="F66" i="39"/>
  <c r="G37" i="44"/>
  <c r="G33" i="39"/>
  <c r="B28" i="39"/>
  <c r="G45" i="41"/>
  <c r="E48" i="41"/>
  <c r="D27" i="41"/>
  <c r="K32" i="39"/>
  <c r="G66" i="39"/>
  <c r="G40" i="39"/>
  <c r="D57" i="41"/>
  <c r="F35" i="41"/>
  <c r="M65" i="39"/>
  <c r="D32" i="41"/>
  <c r="J53" i="39"/>
  <c r="E38" i="41"/>
  <c r="M67" i="39"/>
  <c r="G35" i="39"/>
  <c r="D47" i="39"/>
  <c r="H55" i="41"/>
  <c r="F36" i="44"/>
  <c r="B30" i="39"/>
  <c r="F22" i="39"/>
  <c r="I39" i="41"/>
  <c r="J64" i="39"/>
  <c r="G38" i="41"/>
  <c r="H39" i="41"/>
  <c r="G35" i="41"/>
  <c r="G29" i="44"/>
  <c r="M60" i="39"/>
  <c r="E55" i="39"/>
  <c r="F54" i="41"/>
  <c r="E59" i="41"/>
  <c r="D55" i="41"/>
  <c r="D58" i="41"/>
  <c r="M54" i="39"/>
  <c r="I56" i="41"/>
  <c r="H35" i="41"/>
  <c r="B23" i="41"/>
  <c r="F29" i="39"/>
  <c r="H59" i="41"/>
  <c r="C52" i="41"/>
  <c r="B46" i="39"/>
  <c r="D43" i="41"/>
  <c r="K64" i="39"/>
  <c r="C27" i="41"/>
  <c r="G54" i="41"/>
  <c r="F34" i="41"/>
  <c r="G24" i="39"/>
  <c r="C56" i="41"/>
  <c r="B34" i="41"/>
  <c r="E54" i="39"/>
  <c r="B39" i="41"/>
  <c r="K31" i="39"/>
  <c r="K35" i="39"/>
  <c r="D49" i="39"/>
  <c r="F32" i="41"/>
  <c r="K67" i="39"/>
  <c r="H25" i="39"/>
  <c r="H46" i="41"/>
  <c r="B32" i="41"/>
  <c r="G59" i="41"/>
  <c r="A4" i="39"/>
  <c r="J43" i="39"/>
  <c r="F67" i="39"/>
  <c r="M59" i="39"/>
  <c r="B37" i="39"/>
  <c r="B52" i="39"/>
  <c r="L37" i="39"/>
  <c r="D27" i="44"/>
  <c r="C48" i="39"/>
  <c r="H42" i="41"/>
  <c r="F59" i="41"/>
  <c r="C54" i="41"/>
  <c r="H34" i="41"/>
  <c r="E26" i="41"/>
  <c r="G45" i="39"/>
  <c r="J52" i="39"/>
  <c r="B24" i="44"/>
  <c r="F46" i="39"/>
  <c r="J56" i="39"/>
  <c r="K65" i="39"/>
  <c r="F25" i="39"/>
  <c r="C38" i="41"/>
  <c r="K37" i="39"/>
  <c r="F63" i="39"/>
  <c r="B36" i="41"/>
  <c r="B61" i="41"/>
  <c r="F44" i="39"/>
  <c r="C25" i="44"/>
  <c r="C34" i="39"/>
  <c r="D33" i="41"/>
  <c r="C33" i="41"/>
  <c r="F53" i="41"/>
  <c r="G43" i="41"/>
  <c r="G39" i="41"/>
  <c r="G58" i="39"/>
  <c r="D48" i="41"/>
  <c r="E44" i="41"/>
  <c r="D53" i="41"/>
  <c r="A4" i="41"/>
  <c r="C26" i="41"/>
  <c r="G59" i="39"/>
  <c r="J51" i="39"/>
  <c r="M35" i="39"/>
  <c r="G23" i="39"/>
  <c r="C26" i="44"/>
  <c r="H26" i="39"/>
  <c r="B48" i="41"/>
  <c r="J35" i="39"/>
  <c r="G67" i="39"/>
  <c r="I14" i="44"/>
  <c r="B50" i="39"/>
  <c r="D52" i="39"/>
  <c r="L53" i="39"/>
  <c r="E39" i="41"/>
  <c r="E26" i="44"/>
  <c r="G32" i="39"/>
  <c r="D59" i="41"/>
  <c r="G31" i="41"/>
  <c r="C53" i="41"/>
  <c r="G41" i="39"/>
  <c r="E32" i="41"/>
  <c r="H58" i="41"/>
  <c r="M40" i="39"/>
  <c r="D34" i="39"/>
  <c r="L62" i="39"/>
  <c r="B23" i="44"/>
  <c r="C48" i="41"/>
  <c r="E33" i="39"/>
  <c r="K51" i="39"/>
  <c r="D27" i="39"/>
  <c r="E43" i="41"/>
  <c r="M33" i="39"/>
  <c r="B26" i="41"/>
  <c r="J37" i="39"/>
  <c r="H52" i="41"/>
  <c r="E28" i="44"/>
  <c r="F26" i="44"/>
  <c r="C33" i="39"/>
  <c r="E29" i="41"/>
  <c r="K47" i="39"/>
  <c r="C46" i="39"/>
  <c r="G34" i="44"/>
  <c r="D24" i="39"/>
  <c r="D21" i="39"/>
  <c r="G46" i="41"/>
  <c r="H34" i="39"/>
  <c r="E60" i="41"/>
  <c r="B42" i="39"/>
  <c r="F58" i="41"/>
  <c r="G25" i="39"/>
  <c r="C60" i="41"/>
  <c r="K44" i="39"/>
  <c r="C35" i="41"/>
  <c r="F38" i="41"/>
  <c r="H57" i="41"/>
  <c r="K12" i="39"/>
  <c r="B44" i="41"/>
  <c r="H49" i="41"/>
  <c r="B32" i="39"/>
  <c r="M39" i="39"/>
  <c r="E50" i="39"/>
  <c r="E28" i="41"/>
  <c r="E30" i="41"/>
  <c r="D39" i="39"/>
  <c r="M56" i="39"/>
  <c r="L66" i="39"/>
  <c r="D28" i="39"/>
  <c r="D32" i="39"/>
  <c r="B50" i="41"/>
  <c r="L56" i="39"/>
  <c r="B49" i="41"/>
  <c r="D50" i="39"/>
  <c r="B28" i="41"/>
  <c r="C47" i="39"/>
  <c r="G31" i="39"/>
  <c r="F24" i="39"/>
  <c r="F61" i="41"/>
  <c r="F39" i="39"/>
  <c r="G56" i="41"/>
  <c r="G26" i="39"/>
  <c r="B51" i="39"/>
  <c r="G53" i="41"/>
  <c r="L39" i="39"/>
  <c r="J58" i="39"/>
  <c r="C31" i="39"/>
  <c r="F27" i="39"/>
  <c r="C28" i="39"/>
  <c r="K39" i="39"/>
  <c r="E34" i="41"/>
  <c r="J41" i="39"/>
  <c r="G47" i="39"/>
  <c r="D26" i="41"/>
  <c r="I28" i="39"/>
  <c r="J45" i="39"/>
  <c r="A2" i="41"/>
  <c r="M44" i="39"/>
  <c r="E49" i="39"/>
  <c r="D23" i="39"/>
  <c r="B53" i="39"/>
  <c r="E56" i="41"/>
  <c r="H35" i="39"/>
  <c r="B25" i="44"/>
  <c r="J3" i="39"/>
  <c r="D37" i="39"/>
  <c r="L61" i="39"/>
  <c r="K26" i="39"/>
  <c r="L42" i="39"/>
  <c r="I60" i="41"/>
  <c r="E31" i="41"/>
  <c r="G34" i="41"/>
  <c r="M45" i="39"/>
  <c r="F23" i="39"/>
  <c r="D37" i="41"/>
  <c r="D26" i="44"/>
  <c r="M34" i="39"/>
  <c r="D56" i="41"/>
  <c r="B54" i="39"/>
  <c r="E47" i="41"/>
  <c r="L33" i="39"/>
  <c r="K46" i="39"/>
  <c r="D38" i="41"/>
  <c r="F62" i="39"/>
  <c r="F33" i="44"/>
  <c r="B38" i="39"/>
  <c r="G30" i="41"/>
  <c r="M55" i="39"/>
  <c r="B56" i="39"/>
  <c r="F58" i="39"/>
  <c r="D36" i="41"/>
  <c r="C45" i="41"/>
  <c r="G52" i="41"/>
  <c r="C49" i="39"/>
  <c r="G51" i="41"/>
  <c r="C27" i="44"/>
  <c r="G54" i="39"/>
  <c r="D51" i="41"/>
  <c r="G49" i="39"/>
  <c r="C23" i="41"/>
  <c r="J46" i="39"/>
  <c r="J61" i="39"/>
  <c r="C50" i="39"/>
  <c r="K61" i="39"/>
  <c r="I59" i="41"/>
  <c r="K63" i="39"/>
  <c r="H21" i="41" l="1"/>
  <c r="B21" i="41"/>
  <c r="C21" i="41"/>
  <c r="E21" i="41"/>
  <c r="D21" i="41"/>
  <c r="I21" i="41"/>
  <c r="F21" i="41"/>
  <c r="G21" i="41"/>
  <c r="B19" i="39"/>
  <c r="J19" i="39"/>
  <c r="C19" i="39"/>
  <c r="K19" i="39"/>
  <c r="F19" i="39"/>
  <c r="L19" i="39"/>
  <c r="M19" i="39"/>
  <c r="D19" i="39"/>
  <c r="H19" i="39"/>
  <c r="G19" i="39"/>
  <c r="I19" i="39"/>
  <c r="E19" i="39"/>
  <c r="F21" i="44"/>
  <c r="C21" i="44"/>
  <c r="E21" i="44"/>
  <c r="B21" i="44"/>
  <c r="G21" i="44"/>
  <c r="D21" i="44"/>
</calcChain>
</file>

<file path=xl/sharedStrings.xml><?xml version="1.0" encoding="utf-8"?>
<sst xmlns="http://schemas.openxmlformats.org/spreadsheetml/2006/main" count="136" uniqueCount="91">
  <si>
    <t>実施日</t>
    <rPh sb="0" eb="3">
      <t>ジッシビ</t>
    </rPh>
    <phoneticPr fontId="1"/>
  </si>
  <si>
    <t>３５</t>
    <phoneticPr fontId="1"/>
  </si>
  <si>
    <t>４０</t>
    <phoneticPr fontId="1"/>
  </si>
  <si>
    <t>４５</t>
    <phoneticPr fontId="1"/>
  </si>
  <si>
    <t>５０</t>
    <phoneticPr fontId="1"/>
  </si>
  <si>
    <t>株式会社 三笠・鋲螺</t>
  </si>
  <si>
    <t>ピﾂチｐ</t>
  </si>
  <si>
    <t>５５</t>
    <phoneticPr fontId="1"/>
  </si>
  <si>
    <t>６０</t>
    <phoneticPr fontId="1"/>
  </si>
  <si>
    <t>６５</t>
    <phoneticPr fontId="1"/>
  </si>
  <si>
    <t>７０</t>
    <phoneticPr fontId="1"/>
  </si>
  <si>
    <t>７５</t>
    <phoneticPr fontId="1"/>
  </si>
  <si>
    <t>８０</t>
    <phoneticPr fontId="1"/>
  </si>
  <si>
    <t>９０</t>
    <phoneticPr fontId="1"/>
  </si>
  <si>
    <t>御中</t>
    <rPh sb="0" eb="2">
      <t>オンチュウ</t>
    </rPh>
    <phoneticPr fontId="1"/>
  </si>
  <si>
    <t>８５</t>
    <phoneticPr fontId="1"/>
  </si>
  <si>
    <t>９５</t>
    <phoneticPr fontId="1"/>
  </si>
  <si>
    <t>１００</t>
    <phoneticPr fontId="1"/>
  </si>
  <si>
    <t>新オールステンレス（１）</t>
  </si>
  <si>
    <t>ステンレス・ＢＴ・ＮＴ・Ｗ類　</t>
  </si>
  <si>
    <t>Ｍ ８</t>
    <phoneticPr fontId="1"/>
  </si>
  <si>
    <t>Ｍ１０</t>
    <phoneticPr fontId="1"/>
  </si>
  <si>
    <t>Ｍ１２</t>
    <phoneticPr fontId="1"/>
  </si>
  <si>
    <t xml:space="preserve"> 5.5</t>
    <phoneticPr fontId="1"/>
  </si>
  <si>
    <t xml:space="preserve">7 </t>
    <phoneticPr fontId="1"/>
  </si>
  <si>
    <t xml:space="preserve">8 </t>
    <phoneticPr fontId="1"/>
  </si>
  <si>
    <t>対辺 ｓ</t>
    <phoneticPr fontId="1"/>
  </si>
  <si>
    <t xml:space="preserve">10  </t>
    <phoneticPr fontId="1"/>
  </si>
  <si>
    <t xml:space="preserve">13  </t>
    <phoneticPr fontId="1"/>
  </si>
  <si>
    <t xml:space="preserve">17  </t>
    <phoneticPr fontId="1"/>
  </si>
  <si>
    <t xml:space="preserve">19  </t>
    <phoneticPr fontId="1"/>
  </si>
  <si>
    <t>対角 ｅ</t>
    <phoneticPr fontId="1"/>
  </si>
  <si>
    <t xml:space="preserve">15  </t>
    <phoneticPr fontId="1"/>
  </si>
  <si>
    <t xml:space="preserve">  1.25</t>
    <phoneticPr fontId="1"/>
  </si>
  <si>
    <t xml:space="preserve"> 1.5</t>
    <phoneticPr fontId="1"/>
  </si>
  <si>
    <t xml:space="preserve">  1.75</t>
    <phoneticPr fontId="1"/>
  </si>
  <si>
    <t>１１０</t>
    <phoneticPr fontId="1"/>
  </si>
  <si>
    <t>１２０</t>
    <phoneticPr fontId="1"/>
  </si>
  <si>
    <t>１３０</t>
    <phoneticPr fontId="1"/>
  </si>
  <si>
    <t>１４０</t>
    <phoneticPr fontId="1"/>
  </si>
  <si>
    <t>１５０</t>
    <phoneticPr fontId="1"/>
  </si>
  <si>
    <t>１６０</t>
    <phoneticPr fontId="1"/>
  </si>
  <si>
    <t>１７０</t>
    <phoneticPr fontId="1"/>
  </si>
  <si>
    <t>１８０</t>
    <phoneticPr fontId="1"/>
  </si>
  <si>
    <t>１９０</t>
    <phoneticPr fontId="1"/>
  </si>
  <si>
    <t>２００</t>
    <phoneticPr fontId="1"/>
  </si>
  <si>
    <t>Ｍ１４</t>
    <phoneticPr fontId="1"/>
  </si>
  <si>
    <t>Ｍ１６</t>
    <phoneticPr fontId="1"/>
  </si>
  <si>
    <t>Ｍ２０</t>
    <phoneticPr fontId="1"/>
  </si>
  <si>
    <t>Ｍ２２</t>
    <phoneticPr fontId="1"/>
  </si>
  <si>
    <t>Ｍ２４</t>
    <phoneticPr fontId="1"/>
  </si>
  <si>
    <t xml:space="preserve">9 </t>
    <phoneticPr fontId="1"/>
  </si>
  <si>
    <t xml:space="preserve">14  </t>
    <phoneticPr fontId="1"/>
  </si>
  <si>
    <t xml:space="preserve">15  </t>
    <phoneticPr fontId="1"/>
  </si>
  <si>
    <t>対辺 ｓ</t>
    <phoneticPr fontId="1"/>
  </si>
  <si>
    <t xml:space="preserve">22  </t>
    <phoneticPr fontId="1"/>
  </si>
  <si>
    <t xml:space="preserve">24  </t>
    <phoneticPr fontId="1"/>
  </si>
  <si>
    <t xml:space="preserve">30  </t>
    <phoneticPr fontId="1"/>
  </si>
  <si>
    <t xml:space="preserve">32  </t>
    <phoneticPr fontId="1"/>
  </si>
  <si>
    <t xml:space="preserve">36  </t>
    <phoneticPr fontId="1"/>
  </si>
  <si>
    <t>対角 ｅ</t>
    <phoneticPr fontId="1"/>
  </si>
  <si>
    <t xml:space="preserve">37  </t>
    <phoneticPr fontId="1"/>
  </si>
  <si>
    <t xml:space="preserve"> 2.0</t>
    <phoneticPr fontId="1"/>
  </si>
  <si>
    <t xml:space="preserve"> 2.5</t>
    <phoneticPr fontId="1"/>
  </si>
  <si>
    <t xml:space="preserve"> 3.0</t>
    <phoneticPr fontId="1"/>
  </si>
  <si>
    <t>Ｍ３０</t>
    <phoneticPr fontId="1"/>
  </si>
  <si>
    <t>Ｍ３６</t>
    <phoneticPr fontId="1"/>
  </si>
  <si>
    <t xml:space="preserve">19  </t>
    <phoneticPr fontId="1"/>
  </si>
  <si>
    <t xml:space="preserve">23  </t>
    <phoneticPr fontId="1"/>
  </si>
  <si>
    <t>対辺 ｓ</t>
    <phoneticPr fontId="1"/>
  </si>
  <si>
    <t xml:space="preserve">46  </t>
    <phoneticPr fontId="1"/>
  </si>
  <si>
    <t xml:space="preserve">55  </t>
    <phoneticPr fontId="1"/>
  </si>
  <si>
    <t>対角 ｅ</t>
    <phoneticPr fontId="1"/>
  </si>
  <si>
    <t xml:space="preserve"> 3.5</t>
    <phoneticPr fontId="1"/>
  </si>
  <si>
    <t xml:space="preserve"> 4.0</t>
    <phoneticPr fontId="1"/>
  </si>
  <si>
    <t xml:space="preserve">6 </t>
    <phoneticPr fontId="1"/>
  </si>
  <si>
    <t xml:space="preserve">9 </t>
    <phoneticPr fontId="1"/>
  </si>
  <si>
    <t xml:space="preserve">17  </t>
    <phoneticPr fontId="1"/>
  </si>
  <si>
    <t xml:space="preserve">21  </t>
    <phoneticPr fontId="1"/>
  </si>
  <si>
    <t>山  数</t>
    <phoneticPr fontId="1"/>
  </si>
  <si>
    <t xml:space="preserve">16  </t>
    <phoneticPr fontId="1"/>
  </si>
  <si>
    <t xml:space="preserve">12  </t>
    <phoneticPr fontId="1"/>
  </si>
  <si>
    <t>Ｗ３/８</t>
    <phoneticPr fontId="1"/>
  </si>
  <si>
    <t>Ｗ１/２</t>
    <phoneticPr fontId="1"/>
  </si>
  <si>
    <t>Ｗ５/８</t>
    <phoneticPr fontId="1"/>
  </si>
  <si>
    <t>改正日</t>
    <rPh sb="0" eb="2">
      <t>カイセイ</t>
    </rPh>
    <rPh sb="2" eb="3">
      <t>ビ</t>
    </rPh>
    <phoneticPr fontId="1"/>
  </si>
  <si>
    <t>頭高 ｋ</t>
    <rPh sb="1" eb="2">
      <t>タカ</t>
    </rPh>
    <phoneticPr fontId="1"/>
  </si>
  <si>
    <t>１０５</t>
    <phoneticPr fontId="1"/>
  </si>
  <si>
    <t>（１）ＡＢＳＢ　ステン（MB)六角半ネジボルト　①/③</t>
    <rPh sb="15" eb="17">
      <t>ロッカク</t>
    </rPh>
    <rPh sb="17" eb="18">
      <t>ハン</t>
    </rPh>
    <phoneticPr fontId="1"/>
  </si>
  <si>
    <t>（１）ＡＢＳＢ　ステン（MB)六角半ネジボルト　②/③</t>
    <phoneticPr fontId="1"/>
  </si>
  <si>
    <t>（１）ＡＢＳＢ　ステン（MB)六角半ネジボルト　③/③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</si>
</sst>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#,##0_ "/>
    <numFmt numFmtId="178" formatCode="[$-F800]dddd\,\ mmmm\ dd\,\ yyyy"/>
    <numFmt numFmtId="179" formatCode="[$-411]ggge&quot;年&quot;m&quot;月&quot;d&quot;日&quot;;@"/>
  </numFmts>
  <fonts count="12">
    <font>
      <sz val="11"/>
      <name val="ＭＳ Ｐゴシック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151">
    <xf numFmtId="0" fontId="0" fillId="0" borderId="0" xfId="0"/>
    <xf numFmtId="0" fontId="3" fillId="0" borderId="0" xfId="0" applyFont="1"/>
    <xf numFmtId="2" fontId="6" fillId="0" borderId="1" xfId="0" applyNumberFormat="1" applyFont="1" applyBorder="1" applyAlignment="1">
      <alignment horizontal="center"/>
    </xf>
    <xf numFmtId="0" fontId="3" fillId="0" borderId="0" xfId="0" applyFont="1" applyBorder="1"/>
    <xf numFmtId="2" fontId="6" fillId="0" borderId="2" xfId="0" applyNumberFormat="1" applyFont="1" applyBorder="1" applyAlignment="1">
      <alignment horizontal="center"/>
    </xf>
    <xf numFmtId="0" fontId="4" fillId="0" borderId="0" xfId="0" applyFont="1" applyProtection="1"/>
    <xf numFmtId="0" fontId="4" fillId="0" borderId="0" xfId="0" applyFont="1" applyAlignment="1" applyProtection="1"/>
    <xf numFmtId="0" fontId="4" fillId="0" borderId="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2" applyFont="1"/>
    <xf numFmtId="0" fontId="3" fillId="0" borderId="0" xfId="0" applyFont="1" applyAlignment="1" applyProtection="1">
      <alignment horizontal="right"/>
    </xf>
    <xf numFmtId="0" fontId="5" fillId="0" borderId="0" xfId="0" applyFont="1"/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2" fontId="6" fillId="0" borderId="11" xfId="0" applyNumberFormat="1" applyFont="1" applyBorder="1" applyAlignment="1" applyProtection="1">
      <alignment horizontal="center" vertical="center"/>
    </xf>
    <xf numFmtId="2" fontId="6" fillId="0" borderId="12" xfId="0" applyNumberFormat="1" applyFont="1" applyBorder="1" applyAlignment="1" applyProtection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0" fontId="4" fillId="0" borderId="0" xfId="0" applyFont="1" applyBorder="1" applyProtection="1"/>
    <xf numFmtId="2" fontId="6" fillId="0" borderId="18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2" fontId="6" fillId="0" borderId="2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/>
    <xf numFmtId="0" fontId="7" fillId="2" borderId="29" xfId="0" applyFont="1" applyFill="1" applyBorder="1" applyAlignment="1" applyProtection="1">
      <alignment vertical="center"/>
    </xf>
    <xf numFmtId="0" fontId="7" fillId="2" borderId="29" xfId="0" applyFont="1" applyFill="1" applyBorder="1" applyAlignment="1">
      <alignment vertical="center"/>
    </xf>
    <xf numFmtId="0" fontId="7" fillId="2" borderId="30" xfId="0" applyFont="1" applyFill="1" applyBorder="1" applyAlignment="1">
      <alignment vertical="center"/>
    </xf>
    <xf numFmtId="0" fontId="7" fillId="2" borderId="32" xfId="0" applyFont="1" applyFill="1" applyBorder="1" applyAlignment="1">
      <alignment vertical="center"/>
    </xf>
    <xf numFmtId="0" fontId="7" fillId="2" borderId="32" xfId="0" applyFont="1" applyFill="1" applyBorder="1" applyAlignment="1" applyProtection="1">
      <alignment horizontal="left" vertical="center"/>
    </xf>
    <xf numFmtId="0" fontId="7" fillId="2" borderId="33" xfId="0" applyFont="1" applyFill="1" applyBorder="1" applyAlignment="1" applyProtection="1">
      <alignment horizontal="left" vertical="center"/>
    </xf>
    <xf numFmtId="0" fontId="7" fillId="2" borderId="45" xfId="0" applyFont="1" applyFill="1" applyBorder="1" applyAlignment="1">
      <alignment vertical="center"/>
    </xf>
    <xf numFmtId="0" fontId="2" fillId="0" borderId="0" xfId="0" applyFont="1" applyAlignment="1" applyProtection="1">
      <alignment horizontal="center"/>
    </xf>
    <xf numFmtId="0" fontId="7" fillId="2" borderId="28" xfId="0" applyFont="1" applyFill="1" applyBorder="1" applyAlignment="1">
      <alignment vertical="center"/>
    </xf>
    <xf numFmtId="2" fontId="6" fillId="0" borderId="37" xfId="0" applyNumberFormat="1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23" xfId="0" applyFont="1" applyBorder="1" applyAlignment="1" applyProtection="1">
      <alignment horizontal="center"/>
    </xf>
    <xf numFmtId="0" fontId="4" fillId="0" borderId="57" xfId="0" applyFont="1" applyBorder="1" applyAlignment="1" applyProtection="1">
      <alignment horizontal="center"/>
    </xf>
    <xf numFmtId="0" fontId="4" fillId="0" borderId="58" xfId="0" applyFont="1" applyBorder="1" applyAlignment="1" applyProtection="1">
      <alignment horizontal="center"/>
    </xf>
    <xf numFmtId="0" fontId="4" fillId="0" borderId="59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2" fontId="6" fillId="0" borderId="12" xfId="0" applyNumberFormat="1" applyFont="1" applyBorder="1" applyAlignment="1" applyProtection="1">
      <alignment horizontal="center"/>
    </xf>
    <xf numFmtId="2" fontId="6" fillId="0" borderId="21" xfId="0" applyNumberFormat="1" applyFont="1" applyBorder="1" applyAlignment="1" applyProtection="1">
      <alignment horizontal="center"/>
    </xf>
    <xf numFmtId="2" fontId="6" fillId="0" borderId="13" xfId="0" applyNumberFormat="1" applyFont="1" applyBorder="1" applyAlignment="1" applyProtection="1">
      <alignment horizontal="center"/>
    </xf>
    <xf numFmtId="2" fontId="6" fillId="0" borderId="16" xfId="0" applyNumberFormat="1" applyFont="1" applyBorder="1" applyAlignment="1" applyProtection="1">
      <alignment horizontal="center"/>
    </xf>
    <xf numFmtId="2" fontId="6" fillId="0" borderId="42" xfId="0" applyNumberFormat="1" applyFont="1" applyBorder="1" applyAlignment="1" applyProtection="1">
      <alignment horizontal="center"/>
    </xf>
    <xf numFmtId="2" fontId="6" fillId="0" borderId="36" xfId="0" applyNumberFormat="1" applyFont="1" applyBorder="1" applyAlignment="1" applyProtection="1">
      <alignment horizontal="center"/>
    </xf>
    <xf numFmtId="2" fontId="6" fillId="0" borderId="1" xfId="0" applyNumberFormat="1" applyFont="1" applyBorder="1" applyAlignment="1" applyProtection="1">
      <alignment horizontal="center"/>
    </xf>
    <xf numFmtId="2" fontId="6" fillId="0" borderId="22" xfId="0" applyNumberFormat="1" applyFont="1" applyBorder="1" applyAlignment="1" applyProtection="1">
      <alignment horizontal="center"/>
    </xf>
    <xf numFmtId="2" fontId="6" fillId="0" borderId="17" xfId="0" applyNumberFormat="1" applyFont="1" applyBorder="1" applyAlignment="1" applyProtection="1">
      <alignment horizontal="center"/>
    </xf>
    <xf numFmtId="2" fontId="6" fillId="0" borderId="37" xfId="0" applyNumberFormat="1" applyFont="1" applyBorder="1" applyAlignment="1" applyProtection="1">
      <alignment horizontal="center"/>
    </xf>
    <xf numFmtId="0" fontId="7" fillId="2" borderId="30" xfId="0" applyFont="1" applyFill="1" applyBorder="1" applyAlignment="1" applyProtection="1">
      <alignment horizontal="center"/>
    </xf>
    <xf numFmtId="2" fontId="6" fillId="0" borderId="62" xfId="0" applyNumberFormat="1" applyFont="1" applyBorder="1" applyAlignment="1" applyProtection="1">
      <alignment horizontal="center"/>
    </xf>
    <xf numFmtId="2" fontId="6" fillId="0" borderId="34" xfId="0" applyNumberFormat="1" applyFont="1" applyBorder="1" applyAlignment="1" applyProtection="1">
      <alignment horizontal="center" vertical="center"/>
    </xf>
    <xf numFmtId="2" fontId="6" fillId="0" borderId="10" xfId="0" applyNumberFormat="1" applyFont="1" applyBorder="1" applyAlignment="1" applyProtection="1">
      <alignment horizontal="center"/>
    </xf>
    <xf numFmtId="2" fontId="6" fillId="0" borderId="43" xfId="0" applyNumberFormat="1" applyFont="1" applyBorder="1" applyAlignment="1" applyProtection="1">
      <alignment horizontal="center"/>
    </xf>
    <xf numFmtId="2" fontId="6" fillId="0" borderId="18" xfId="0" applyNumberFormat="1" applyFont="1" applyBorder="1" applyAlignment="1" applyProtection="1">
      <alignment horizontal="center"/>
    </xf>
    <xf numFmtId="2" fontId="6" fillId="0" borderId="19" xfId="0" applyNumberFormat="1" applyFont="1" applyBorder="1" applyAlignment="1" applyProtection="1">
      <alignment horizontal="center"/>
    </xf>
    <xf numFmtId="0" fontId="7" fillId="2" borderId="29" xfId="0" applyFont="1" applyFill="1" applyBorder="1" applyAlignment="1" applyProtection="1">
      <alignment horizontal="center"/>
    </xf>
    <xf numFmtId="2" fontId="6" fillId="0" borderId="11" xfId="0" applyNumberFormat="1" applyFont="1" applyBorder="1" applyAlignment="1" applyProtection="1">
      <alignment horizontal="center"/>
    </xf>
    <xf numFmtId="2" fontId="6" fillId="0" borderId="20" xfId="0" applyNumberFormat="1" applyFont="1" applyBorder="1" applyAlignment="1" applyProtection="1">
      <alignment horizontal="center"/>
    </xf>
    <xf numFmtId="177" fontId="7" fillId="2" borderId="25" xfId="0" applyNumberFormat="1" applyFont="1" applyFill="1" applyBorder="1" applyAlignment="1" applyProtection="1">
      <alignment horizontal="center"/>
    </xf>
    <xf numFmtId="177" fontId="7" fillId="2" borderId="41" xfId="0" applyNumberFormat="1" applyFont="1" applyFill="1" applyBorder="1" applyAlignment="1" applyProtection="1">
      <alignment horizontal="center"/>
    </xf>
    <xf numFmtId="177" fontId="7" fillId="2" borderId="27" xfId="0" applyNumberFormat="1" applyFont="1" applyFill="1" applyBorder="1" applyAlignment="1" applyProtection="1">
      <alignment horizontal="center"/>
    </xf>
    <xf numFmtId="177" fontId="7" fillId="2" borderId="30" xfId="0" applyNumberFormat="1" applyFont="1" applyFill="1" applyBorder="1" applyAlignment="1" applyProtection="1">
      <alignment horizontal="center"/>
    </xf>
    <xf numFmtId="177" fontId="7" fillId="2" borderId="24" xfId="0" applyNumberFormat="1" applyFont="1" applyFill="1" applyBorder="1" applyAlignment="1" applyProtection="1">
      <alignment horizontal="center"/>
    </xf>
    <xf numFmtId="177" fontId="7" fillId="2" borderId="61" xfId="0" applyNumberFormat="1" applyFont="1" applyFill="1" applyBorder="1" applyAlignment="1" applyProtection="1">
      <alignment horizontal="center"/>
    </xf>
    <xf numFmtId="177" fontId="7" fillId="2" borderId="63" xfId="0" applyNumberFormat="1" applyFont="1" applyFill="1" applyBorder="1" applyAlignment="1" applyProtection="1">
      <alignment horizontal="center"/>
    </xf>
    <xf numFmtId="177" fontId="7" fillId="2" borderId="40" xfId="0" applyNumberFormat="1" applyFont="1" applyFill="1" applyBorder="1" applyAlignment="1" applyProtection="1">
      <alignment horizontal="center"/>
    </xf>
    <xf numFmtId="177" fontId="7" fillId="2" borderId="44" xfId="0" applyNumberFormat="1" applyFont="1" applyFill="1" applyBorder="1" applyAlignment="1" applyProtection="1">
      <alignment horizontal="center"/>
    </xf>
    <xf numFmtId="177" fontId="7" fillId="2" borderId="35" xfId="0" applyNumberFormat="1" applyFont="1" applyFill="1" applyBorder="1" applyAlignment="1" applyProtection="1">
      <alignment horizontal="center"/>
    </xf>
    <xf numFmtId="177" fontId="7" fillId="2" borderId="31" xfId="0" applyNumberFormat="1" applyFont="1" applyFill="1" applyBorder="1" applyAlignment="1" applyProtection="1">
      <alignment horizontal="center"/>
    </xf>
    <xf numFmtId="177" fontId="7" fillId="2" borderId="33" xfId="0" applyNumberFormat="1" applyFont="1" applyFill="1" applyBorder="1" applyAlignment="1" applyProtection="1">
      <alignment horizontal="center"/>
    </xf>
    <xf numFmtId="177" fontId="7" fillId="2" borderId="29" xfId="0" applyNumberFormat="1" applyFont="1" applyFill="1" applyBorder="1" applyAlignment="1" applyProtection="1">
      <alignment horizontal="center"/>
    </xf>
    <xf numFmtId="177" fontId="7" fillId="2" borderId="26" xfId="0" applyNumberFormat="1" applyFont="1" applyFill="1" applyBorder="1" applyAlignment="1" applyProtection="1">
      <alignment horizontal="center"/>
    </xf>
    <xf numFmtId="177" fontId="7" fillId="2" borderId="32" xfId="0" applyNumberFormat="1" applyFont="1" applyFill="1" applyBorder="1" applyAlignment="1" applyProtection="1">
      <alignment horizontal="center"/>
    </xf>
    <xf numFmtId="177" fontId="7" fillId="2" borderId="28" xfId="0" applyNumberFormat="1" applyFont="1" applyFill="1" applyBorder="1" applyAlignment="1" applyProtection="1">
      <alignment horizontal="center"/>
    </xf>
    <xf numFmtId="177" fontId="7" fillId="2" borderId="4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shrinkToFit="1"/>
    </xf>
    <xf numFmtId="0" fontId="3" fillId="0" borderId="0" xfId="0" applyFont="1" applyAlignment="1" applyProtection="1">
      <alignment horizontal="center" shrinkToFit="1"/>
    </xf>
    <xf numFmtId="2" fontId="6" fillId="0" borderId="0" xfId="0" applyNumberFormat="1" applyFont="1" applyBorder="1" applyAlignment="1" applyProtection="1">
      <alignment horizontal="center"/>
    </xf>
    <xf numFmtId="177" fontId="7" fillId="2" borderId="64" xfId="0" applyNumberFormat="1" applyFont="1" applyFill="1" applyBorder="1" applyAlignment="1" applyProtection="1">
      <alignment horizontal="center"/>
    </xf>
    <xf numFmtId="2" fontId="6" fillId="0" borderId="65" xfId="0" applyNumberFormat="1" applyFont="1" applyBorder="1" applyAlignment="1" applyProtection="1">
      <alignment horizontal="center"/>
    </xf>
    <xf numFmtId="2" fontId="6" fillId="0" borderId="66" xfId="0" applyNumberFormat="1" applyFont="1" applyBorder="1" applyAlignment="1" applyProtection="1">
      <alignment horizontal="center"/>
    </xf>
    <xf numFmtId="2" fontId="6" fillId="0" borderId="39" xfId="0" applyNumberFormat="1" applyFont="1" applyBorder="1" applyAlignment="1" applyProtection="1">
      <alignment horizontal="center"/>
    </xf>
    <xf numFmtId="2" fontId="6" fillId="0" borderId="67" xfId="0" applyNumberFormat="1" applyFont="1" applyBorder="1" applyAlignment="1" applyProtection="1">
      <alignment horizontal="center"/>
    </xf>
    <xf numFmtId="2" fontId="6" fillId="0" borderId="38" xfId="0" applyNumberFormat="1" applyFont="1" applyBorder="1" applyAlignment="1" applyProtection="1">
      <alignment horizontal="center"/>
    </xf>
    <xf numFmtId="2" fontId="6" fillId="0" borderId="68" xfId="0" applyNumberFormat="1" applyFont="1" applyBorder="1" applyAlignment="1" applyProtection="1">
      <alignment horizontal="center"/>
    </xf>
    <xf numFmtId="2" fontId="6" fillId="0" borderId="2" xfId="0" applyNumberFormat="1" applyFont="1" applyBorder="1" applyAlignment="1" applyProtection="1">
      <alignment horizontal="center"/>
    </xf>
    <xf numFmtId="2" fontId="6" fillId="0" borderId="60" xfId="0" applyNumberFormat="1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/>
    </xf>
    <xf numFmtId="0" fontId="7" fillId="2" borderId="33" xfId="0" applyFont="1" applyFill="1" applyBorder="1" applyAlignment="1">
      <alignment vertical="center"/>
    </xf>
    <xf numFmtId="2" fontId="6" fillId="0" borderId="21" xfId="0" applyNumberFormat="1" applyFont="1" applyBorder="1" applyAlignment="1">
      <alignment horizontal="center" vertical="center"/>
    </xf>
    <xf numFmtId="2" fontId="6" fillId="0" borderId="43" xfId="0" applyNumberFormat="1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/>
    </xf>
    <xf numFmtId="177" fontId="7" fillId="2" borderId="69" xfId="0" applyNumberFormat="1" applyFont="1" applyFill="1" applyBorder="1" applyAlignment="1" applyProtection="1">
      <alignment horizontal="center"/>
    </xf>
    <xf numFmtId="2" fontId="6" fillId="0" borderId="70" xfId="0" applyNumberFormat="1" applyFont="1" applyBorder="1" applyAlignment="1" applyProtection="1">
      <alignment horizontal="center"/>
    </xf>
    <xf numFmtId="2" fontId="6" fillId="0" borderId="14" xfId="0" applyNumberFormat="1" applyFont="1" applyBorder="1" applyAlignment="1" applyProtection="1">
      <alignment horizontal="center"/>
    </xf>
    <xf numFmtId="2" fontId="6" fillId="0" borderId="60" xfId="0" applyNumberFormat="1" applyFont="1" applyBorder="1" applyAlignment="1" applyProtection="1">
      <alignment horizontal="center"/>
    </xf>
    <xf numFmtId="0" fontId="7" fillId="2" borderId="64" xfId="0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3" fillId="0" borderId="0" xfId="0" applyFont="1" applyAlignment="1">
      <alignment shrinkToFit="1"/>
    </xf>
    <xf numFmtId="0" fontId="4" fillId="0" borderId="71" xfId="0" applyFont="1" applyBorder="1" applyAlignment="1" applyProtection="1">
      <alignment horizontal="center"/>
    </xf>
    <xf numFmtId="178" fontId="5" fillId="0" borderId="0" xfId="0" applyNumberFormat="1" applyFont="1"/>
    <xf numFmtId="179" fontId="8" fillId="0" borderId="0" xfId="1" applyNumberFormat="1" applyAlignment="1" applyProtection="1"/>
    <xf numFmtId="179" fontId="3" fillId="0" borderId="0" xfId="0" applyNumberFormat="1" applyFont="1" applyAlignment="1">
      <alignment horizontal="center"/>
    </xf>
    <xf numFmtId="0" fontId="4" fillId="0" borderId="50" xfId="0" quotePrefix="1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4" fillId="0" borderId="51" xfId="0" applyFont="1" applyBorder="1" applyAlignment="1" applyProtection="1">
      <alignment horizontal="center" vertical="center"/>
    </xf>
    <xf numFmtId="0" fontId="4" fillId="0" borderId="52" xfId="0" applyFont="1" applyBorder="1" applyAlignment="1" applyProtection="1">
      <alignment horizontal="center" vertical="center"/>
    </xf>
    <xf numFmtId="0" fontId="4" fillId="0" borderId="53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4" fillId="0" borderId="56" xfId="0" applyFont="1" applyBorder="1" applyAlignment="1" applyProtection="1">
      <alignment horizontal="center" vertical="center"/>
    </xf>
    <xf numFmtId="179" fontId="3" fillId="0" borderId="0" xfId="0" applyNumberFormat="1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 applyProtection="1">
      <alignment horizontal="left" shrinkToFit="1"/>
    </xf>
    <xf numFmtId="0" fontId="9" fillId="0" borderId="0" xfId="2" applyFont="1" applyAlignment="1">
      <alignment horizontal="right" shrinkToFit="1"/>
    </xf>
    <xf numFmtId="49" fontId="4" fillId="0" borderId="54" xfId="0" applyNumberFormat="1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4" fillId="0" borderId="50" xfId="0" quotePrefix="1" applyNumberFormat="1" applyFont="1" applyBorder="1" applyAlignment="1" applyProtection="1">
      <alignment horizontal="center" vertical="center"/>
    </xf>
    <xf numFmtId="176" fontId="4" fillId="0" borderId="46" xfId="0" applyNumberFormat="1" applyFont="1" applyBorder="1" applyAlignment="1" applyProtection="1">
      <alignment horizontal="center" vertical="center"/>
    </xf>
    <xf numFmtId="176" fontId="4" fillId="0" borderId="49" xfId="0" quotePrefix="1" applyNumberFormat="1" applyFont="1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4" fillId="0" borderId="49" xfId="0" applyNumberFormat="1" applyFont="1" applyBorder="1" applyAlignment="1" applyProtection="1">
      <alignment horizontal="center" vertical="center"/>
    </xf>
    <xf numFmtId="49" fontId="4" fillId="0" borderId="55" xfId="0" applyNumberFormat="1" applyFont="1" applyBorder="1" applyAlignment="1" applyProtection="1">
      <alignment horizontal="center" vertical="center"/>
    </xf>
    <xf numFmtId="0" fontId="4" fillId="0" borderId="46" xfId="0" quotePrefix="1" applyFont="1" applyBorder="1" applyAlignment="1" applyProtection="1">
      <alignment horizontal="center" vertical="center"/>
    </xf>
    <xf numFmtId="176" fontId="4" fillId="0" borderId="47" xfId="0" quotePrefix="1" applyNumberFormat="1" applyFont="1" applyBorder="1" applyAlignment="1" applyProtection="1">
      <alignment horizontal="center" vertical="center"/>
    </xf>
    <xf numFmtId="58" fontId="3" fillId="0" borderId="0" xfId="0" applyNumberFormat="1" applyFont="1" applyAlignment="1">
      <alignment horizontal="center" shrinkToFit="1"/>
    </xf>
    <xf numFmtId="0" fontId="2" fillId="0" borderId="0" xfId="0" applyNumberFormat="1" applyFont="1" applyAlignment="1" applyProtection="1">
      <alignment horizontal="center"/>
    </xf>
    <xf numFmtId="0" fontId="4" fillId="0" borderId="3" xfId="0" applyFont="1" applyBorder="1" applyAlignment="1" applyProtection="1">
      <alignment horizontal="center" vertical="center"/>
    </xf>
    <xf numFmtId="179" fontId="3" fillId="0" borderId="0" xfId="0" applyNumberFormat="1" applyFont="1" applyAlignment="1" applyProtection="1">
      <alignment horizontal="center" shrinkToFit="1"/>
    </xf>
    <xf numFmtId="1" fontId="4" fillId="0" borderId="50" xfId="0" applyNumberFormat="1" applyFont="1" applyBorder="1" applyAlignment="1" applyProtection="1">
      <alignment horizontal="center" vertical="center"/>
    </xf>
    <xf numFmtId="1" fontId="4" fillId="0" borderId="47" xfId="0" applyNumberFormat="1" applyFont="1" applyBorder="1" applyAlignment="1" applyProtection="1">
      <alignment horizontal="center" vertical="center"/>
    </xf>
    <xf numFmtId="1" fontId="4" fillId="0" borderId="48" xfId="0" quotePrefix="1" applyNumberFormat="1" applyFont="1" applyBorder="1" applyAlignment="1" applyProtection="1">
      <alignment horizontal="center" vertical="center"/>
    </xf>
    <xf numFmtId="1" fontId="4" fillId="0" borderId="46" xfId="0" quotePrefix="1" applyNumberFormat="1" applyFont="1" applyBorder="1" applyAlignment="1" applyProtection="1">
      <alignment horizontal="center" vertical="center"/>
    </xf>
    <xf numFmtId="1" fontId="4" fillId="0" borderId="50" xfId="0" quotePrefix="1" applyNumberFormat="1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4" fillId="0" borderId="48" xfId="0" quotePrefix="1" applyFont="1" applyBorder="1" applyAlignment="1" applyProtection="1">
      <alignment horizontal="center" vertical="center"/>
    </xf>
  </cellXfs>
  <cellStyles count="3">
    <cellStyle name="ハイパーリンク" xfId="1" builtinId="8"/>
    <cellStyle name="標準" xfId="0" builtinId="0"/>
    <cellStyle name="標準_Book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</xdr:row>
      <xdr:rowOff>57150</xdr:rowOff>
    </xdr:from>
    <xdr:to>
      <xdr:col>3</xdr:col>
      <xdr:colOff>247650</xdr:colOff>
      <xdr:row>8</xdr:row>
      <xdr:rowOff>180118</xdr:rowOff>
    </xdr:to>
    <xdr:pic>
      <xdr:nvPicPr>
        <xdr:cNvPr id="389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62050"/>
          <a:ext cx="1724025" cy="6658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495300</xdr:colOff>
      <xdr:row>4</xdr:row>
      <xdr:rowOff>152401</xdr:rowOff>
    </xdr:from>
    <xdr:to>
      <xdr:col>8</xdr:col>
      <xdr:colOff>219075</xdr:colOff>
      <xdr:row>9</xdr:row>
      <xdr:rowOff>66676</xdr:rowOff>
    </xdr:to>
    <xdr:grpSp>
      <xdr:nvGrpSpPr>
        <xdr:cNvPr id="38915" name="Group 3"/>
        <xdr:cNvGrpSpPr>
          <a:grpSpLocks/>
        </xdr:cNvGrpSpPr>
      </xdr:nvGrpSpPr>
      <xdr:grpSpPr bwMode="auto">
        <a:xfrm>
          <a:off x="2162175" y="1076326"/>
          <a:ext cx="2247900" cy="819150"/>
          <a:chOff x="72" y="24"/>
          <a:chExt cx="250" cy="93"/>
        </a:xfrm>
      </xdr:grpSpPr>
      <xdr:pic>
        <xdr:nvPicPr>
          <xdr:cNvPr id="38916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" y="24"/>
            <a:ext cx="250" cy="8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38917" name="Rectangle 5"/>
          <xdr:cNvSpPr>
            <a:spLocks noChangeArrowheads="1"/>
          </xdr:cNvSpPr>
        </xdr:nvSpPr>
        <xdr:spPr bwMode="auto">
          <a:xfrm>
            <a:off x="232" y="97"/>
            <a:ext cx="23" cy="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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6</xdr:row>
      <xdr:rowOff>114300</xdr:rowOff>
    </xdr:from>
    <xdr:to>
      <xdr:col>3</xdr:col>
      <xdr:colOff>180975</xdr:colOff>
      <xdr:row>10</xdr:row>
      <xdr:rowOff>123825</xdr:rowOff>
    </xdr:to>
    <xdr:pic>
      <xdr:nvPicPr>
        <xdr:cNvPr id="409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81125"/>
          <a:ext cx="1800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161925</xdr:colOff>
      <xdr:row>6</xdr:row>
      <xdr:rowOff>66675</xdr:rowOff>
    </xdr:from>
    <xdr:to>
      <xdr:col>8</xdr:col>
      <xdr:colOff>19050</xdr:colOff>
      <xdr:row>11</xdr:row>
      <xdr:rowOff>133350</xdr:rowOff>
    </xdr:to>
    <xdr:grpSp>
      <xdr:nvGrpSpPr>
        <xdr:cNvPr id="40963" name="Group 3"/>
        <xdr:cNvGrpSpPr>
          <a:grpSpLocks/>
        </xdr:cNvGrpSpPr>
      </xdr:nvGrpSpPr>
      <xdr:grpSpPr bwMode="auto">
        <a:xfrm>
          <a:off x="1981200" y="1333500"/>
          <a:ext cx="2762250" cy="923925"/>
          <a:chOff x="72" y="24"/>
          <a:chExt cx="250" cy="93"/>
        </a:xfrm>
      </xdr:grpSpPr>
      <xdr:pic>
        <xdr:nvPicPr>
          <xdr:cNvPr id="40964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" y="24"/>
            <a:ext cx="250" cy="8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40965" name="Rectangle 5"/>
          <xdr:cNvSpPr>
            <a:spLocks noChangeArrowheads="1"/>
          </xdr:cNvSpPr>
        </xdr:nvSpPr>
        <xdr:spPr bwMode="auto">
          <a:xfrm>
            <a:off x="232" y="97"/>
            <a:ext cx="23" cy="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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5</xdr:row>
      <xdr:rowOff>95250</xdr:rowOff>
    </xdr:from>
    <xdr:to>
      <xdr:col>3</xdr:col>
      <xdr:colOff>142875</xdr:colOff>
      <xdr:row>9</xdr:row>
      <xdr:rowOff>104775</xdr:rowOff>
    </xdr:to>
    <xdr:pic>
      <xdr:nvPicPr>
        <xdr:cNvPr id="440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90625"/>
          <a:ext cx="18002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371475</xdr:colOff>
      <xdr:row>5</xdr:row>
      <xdr:rowOff>9525</xdr:rowOff>
    </xdr:from>
    <xdr:to>
      <xdr:col>7</xdr:col>
      <xdr:colOff>352425</xdr:colOff>
      <xdr:row>10</xdr:row>
      <xdr:rowOff>38100</xdr:rowOff>
    </xdr:to>
    <xdr:grpSp>
      <xdr:nvGrpSpPr>
        <xdr:cNvPr id="44035" name="Group 3"/>
        <xdr:cNvGrpSpPr>
          <a:grpSpLocks/>
        </xdr:cNvGrpSpPr>
      </xdr:nvGrpSpPr>
      <xdr:grpSpPr bwMode="auto">
        <a:xfrm>
          <a:off x="2228850" y="1104900"/>
          <a:ext cx="2381250" cy="885825"/>
          <a:chOff x="72" y="24"/>
          <a:chExt cx="250" cy="93"/>
        </a:xfrm>
      </xdr:grpSpPr>
      <xdr:pic>
        <xdr:nvPicPr>
          <xdr:cNvPr id="44036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" y="24"/>
            <a:ext cx="250" cy="8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44037" name="Rectangle 5"/>
          <xdr:cNvSpPr>
            <a:spLocks noChangeArrowheads="1"/>
          </xdr:cNvSpPr>
        </xdr:nvSpPr>
        <xdr:spPr bwMode="auto">
          <a:xfrm>
            <a:off x="232" y="97"/>
            <a:ext cx="23" cy="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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SheetLayoutView="70"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E94"/>
  <sheetViews>
    <sheetView showZeros="0" zoomScaleNormal="100" workbookViewId="0">
      <selection activeCell="K4" sqref="K4:M4"/>
    </sheetView>
  </sheetViews>
  <sheetFormatPr defaultRowHeight="13.5" customHeight="1"/>
  <cols>
    <col min="1" max="1" width="8.625" style="1" customWidth="1"/>
    <col min="2" max="13" width="6.625" style="1" customWidth="1"/>
    <col min="14" max="14" width="9" style="1"/>
    <col min="15" max="15" width="12.625" style="1" bestFit="1" customWidth="1"/>
    <col min="16" max="30" width="9" style="1"/>
    <col min="31" max="31" width="12.625" style="1" bestFit="1" customWidth="1"/>
    <col min="32" max="16384" width="9" style="1"/>
  </cols>
  <sheetData>
    <row r="1" spans="1:13" ht="13.5" customHeight="1">
      <c r="A1" s="111"/>
    </row>
    <row r="2" spans="1:13" ht="18.75">
      <c r="A2" s="122" t="e">
        <f ca="1">タイトル()</f>
        <v>#NAME?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ht="13.5" customHeight="1">
      <c r="A3" s="38"/>
      <c r="B3" s="38"/>
      <c r="C3" s="38"/>
      <c r="D3" s="38"/>
      <c r="E3" s="38"/>
      <c r="F3" s="38"/>
      <c r="G3" s="38"/>
      <c r="H3" s="38"/>
      <c r="I3" s="38"/>
      <c r="J3" s="126" t="e">
        <f ca="1">コメント()</f>
        <v>#NAME?</v>
      </c>
      <c r="K3" s="126"/>
      <c r="L3" s="126"/>
      <c r="M3" s="126"/>
    </row>
    <row r="4" spans="1:13" ht="27" customHeight="1">
      <c r="A4" s="127" t="e">
        <f ca="1">得意先()</f>
        <v>#NAME?</v>
      </c>
      <c r="B4" s="127"/>
      <c r="C4" s="127"/>
      <c r="D4" s="9" t="s">
        <v>14</v>
      </c>
      <c r="E4" s="8"/>
      <c r="F4" s="8"/>
      <c r="G4" s="8"/>
      <c r="H4" s="8"/>
      <c r="I4" s="8"/>
      <c r="J4" s="30" t="s">
        <v>0</v>
      </c>
      <c r="K4" s="143" t="e">
        <f ca="1">実施日()</f>
        <v>#NAME?</v>
      </c>
      <c r="L4" s="143"/>
      <c r="M4" s="143"/>
    </row>
    <row r="5" spans="1:13" ht="14.25" customHeight="1">
      <c r="A5" s="10"/>
      <c r="B5" s="10"/>
      <c r="C5" s="10"/>
      <c r="D5" s="10"/>
      <c r="E5" s="10"/>
      <c r="F5" s="10"/>
      <c r="G5" s="10"/>
      <c r="H5" s="8"/>
      <c r="I5" s="8"/>
      <c r="J5" s="8"/>
      <c r="K5" s="8"/>
      <c r="L5" s="8"/>
      <c r="M5" s="8"/>
    </row>
    <row r="6" spans="1:13" ht="14.25" customHeight="1">
      <c r="B6" s="11"/>
      <c r="C6" s="12"/>
      <c r="H6" s="8"/>
      <c r="I6" s="8"/>
      <c r="J6" s="8"/>
      <c r="K6" s="117" t="s">
        <v>5</v>
      </c>
      <c r="L6" s="117"/>
      <c r="M6" s="117"/>
    </row>
    <row r="7" spans="1:13" ht="14.25" customHeight="1">
      <c r="B7" s="11"/>
      <c r="C7" s="12"/>
    </row>
    <row r="8" spans="1:13" ht="14.25" customHeight="1">
      <c r="B8" s="11"/>
      <c r="C8" s="12"/>
    </row>
    <row r="9" spans="1:13" ht="14.25" customHeight="1">
      <c r="B9" s="11"/>
      <c r="C9" s="12"/>
    </row>
    <row r="10" spans="1:13" ht="19.5" customHeight="1">
      <c r="A10" s="6" t="s">
        <v>18</v>
      </c>
      <c r="C10" s="5"/>
      <c r="D10" s="5"/>
      <c r="E10" s="5"/>
    </row>
    <row r="11" spans="1:13" ht="14.25" customHeight="1">
      <c r="A11" s="6" t="s">
        <v>19</v>
      </c>
      <c r="C11" s="5"/>
      <c r="D11" s="5"/>
      <c r="E11" s="5"/>
      <c r="K11" s="112"/>
      <c r="L11" s="26"/>
      <c r="M11" s="26"/>
    </row>
    <row r="12" spans="1:13" ht="14.25" customHeight="1">
      <c r="B12" s="6" t="s">
        <v>88</v>
      </c>
      <c r="D12" s="5"/>
      <c r="E12" s="5"/>
      <c r="J12" s="1" t="s">
        <v>85</v>
      </c>
      <c r="K12" s="124" t="e">
        <f ca="1">改正日()</f>
        <v>#NAME?</v>
      </c>
      <c r="L12" s="125"/>
      <c r="M12" s="125"/>
    </row>
    <row r="13" spans="1:13" ht="5.25" customHeight="1" thickBot="1"/>
    <row r="14" spans="1:13" ht="12.95" customHeight="1">
      <c r="A14" s="13"/>
      <c r="B14" s="118" t="s">
        <v>20</v>
      </c>
      <c r="C14" s="119"/>
      <c r="D14" s="118" t="s">
        <v>21</v>
      </c>
      <c r="E14" s="119"/>
      <c r="F14" s="118" t="s">
        <v>22</v>
      </c>
      <c r="G14" s="123"/>
      <c r="H14" s="118" t="s">
        <v>46</v>
      </c>
      <c r="I14" s="119"/>
      <c r="J14" s="118" t="s">
        <v>47</v>
      </c>
      <c r="K14" s="119"/>
      <c r="L14" s="118" t="s">
        <v>48</v>
      </c>
      <c r="M14" s="120"/>
    </row>
    <row r="15" spans="1:13" ht="12.95" customHeight="1">
      <c r="A15" s="14" t="s">
        <v>86</v>
      </c>
      <c r="B15" s="113" t="s">
        <v>23</v>
      </c>
      <c r="C15" s="116"/>
      <c r="D15" s="113" t="s">
        <v>24</v>
      </c>
      <c r="E15" s="116"/>
      <c r="F15" s="113" t="s">
        <v>25</v>
      </c>
      <c r="G15" s="114"/>
      <c r="H15" s="113" t="s">
        <v>51</v>
      </c>
      <c r="I15" s="116"/>
      <c r="J15" s="113" t="s">
        <v>27</v>
      </c>
      <c r="K15" s="116"/>
      <c r="L15" s="113" t="s">
        <v>28</v>
      </c>
      <c r="M15" s="121"/>
    </row>
    <row r="16" spans="1:13" ht="12.95" customHeight="1">
      <c r="A16" s="14" t="s">
        <v>26</v>
      </c>
      <c r="B16" s="113" t="s">
        <v>28</v>
      </c>
      <c r="C16" s="116"/>
      <c r="D16" s="113" t="s">
        <v>29</v>
      </c>
      <c r="E16" s="116"/>
      <c r="F16" s="113" t="s">
        <v>30</v>
      </c>
      <c r="G16" s="114"/>
      <c r="H16" s="113" t="s">
        <v>55</v>
      </c>
      <c r="I16" s="116"/>
      <c r="J16" s="113" t="s">
        <v>56</v>
      </c>
      <c r="K16" s="116"/>
      <c r="L16" s="113" t="s">
        <v>57</v>
      </c>
      <c r="M16" s="121"/>
    </row>
    <row r="17" spans="1:13" ht="12.95" customHeight="1">
      <c r="A17" s="14" t="s">
        <v>31</v>
      </c>
      <c r="B17" s="113" t="s">
        <v>32</v>
      </c>
      <c r="C17" s="116"/>
      <c r="D17" s="115">
        <v>19.600000000000001</v>
      </c>
      <c r="E17" s="116"/>
      <c r="F17" s="115">
        <v>21.9</v>
      </c>
      <c r="G17" s="114"/>
      <c r="H17" s="115">
        <v>25.4</v>
      </c>
      <c r="I17" s="116"/>
      <c r="J17" s="115">
        <v>27.7</v>
      </c>
      <c r="K17" s="116"/>
      <c r="L17" s="115">
        <v>34.6</v>
      </c>
      <c r="M17" s="121"/>
    </row>
    <row r="18" spans="1:13" ht="12.95" customHeight="1">
      <c r="A18" s="14" t="s">
        <v>6</v>
      </c>
      <c r="B18" s="113" t="s">
        <v>33</v>
      </c>
      <c r="C18" s="116"/>
      <c r="D18" s="113" t="s">
        <v>34</v>
      </c>
      <c r="E18" s="116"/>
      <c r="F18" s="113" t="s">
        <v>35</v>
      </c>
      <c r="G18" s="114"/>
      <c r="H18" s="130" t="s">
        <v>62</v>
      </c>
      <c r="I18" s="131"/>
      <c r="J18" s="132" t="s">
        <v>62</v>
      </c>
      <c r="K18" s="131"/>
      <c r="L18" s="113" t="s">
        <v>63</v>
      </c>
      <c r="M18" s="121"/>
    </row>
    <row r="19" spans="1:13" ht="12.95" customHeight="1" thickBot="1">
      <c r="A19" s="15"/>
      <c r="B19" s="44" t="e">
        <f ca="1">IF($A$2="【売原価表】","原価",IF($A$2="【建値表】","建値","ケース"))</f>
        <v>#NAME?</v>
      </c>
      <c r="C19" s="45" t="e">
        <f ca="1">IF($A$2="【売原価表】","情報",IF($A$2="【建値表】","","小箱"))</f>
        <v>#NAME?</v>
      </c>
      <c r="D19" s="44" t="e">
        <f ca="1">IF($A$2="【売原価表】","原価",IF($A$2="【建値表】","建値","ケース"))</f>
        <v>#NAME?</v>
      </c>
      <c r="E19" s="45" t="e">
        <f ca="1">IF($A$2="【売原価表】","情報",IF($A$2="【建値表】","","小箱"))</f>
        <v>#NAME?</v>
      </c>
      <c r="F19" s="44" t="e">
        <f ca="1">IF($A$2="【売原価表】","原価",IF($A$2="【建値表】","建値","ケース"))</f>
        <v>#NAME?</v>
      </c>
      <c r="G19" s="45" t="e">
        <f ca="1">IF($A$2="【売原価表】","情報",IF($A$2="【建値表】","","小箱"))</f>
        <v>#NAME?</v>
      </c>
      <c r="H19" s="97" t="e">
        <f ca="1">IF($A$2="【売原価表】","原価",IF($A$2="【建値表】","建値","ケース"))</f>
        <v>#NAME?</v>
      </c>
      <c r="I19" s="41" t="e">
        <f ca="1">IF($A$2="【売原価表】","情報",IF($A$2="【建値表】","","小箱"))</f>
        <v>#NAME?</v>
      </c>
      <c r="J19" s="42" t="e">
        <f ca="1">IF($A$2="【売原価表】","原価",IF($A$2="【建値表】","建値","ケース"))</f>
        <v>#NAME?</v>
      </c>
      <c r="K19" s="43" t="e">
        <f ca="1">IF($A$2="【売原価表】","情報",IF($A$2="【建値表】","","小箱"))</f>
        <v>#NAME?</v>
      </c>
      <c r="L19" s="44" t="e">
        <f ca="1">IF($A$2="【売原価表】","原価",IF($A$2="【建値表】","建値","ケース"))</f>
        <v>#NAME?</v>
      </c>
      <c r="M19" s="46" t="e">
        <f ca="1">IF($A$2="【売原価表】","情報",IF($A$2="【建値表】","","小箱"))</f>
        <v>#NAME?</v>
      </c>
    </row>
    <row r="20" spans="1:13" ht="11.85" customHeight="1">
      <c r="A20" s="128" t="s">
        <v>1</v>
      </c>
      <c r="B20" s="68"/>
      <c r="C20" s="82"/>
      <c r="D20" s="76" t="e">
        <f ca="1">入数("H","10101010002000000091")</f>
        <v>#NAME?</v>
      </c>
      <c r="E20" s="77" t="e">
        <f ca="1">入数("I","10101010002000000091")</f>
        <v>#NAME?</v>
      </c>
      <c r="F20" s="88"/>
      <c r="G20" s="81"/>
      <c r="H20" s="80"/>
      <c r="I20" s="79"/>
      <c r="J20" s="80"/>
      <c r="K20" s="79"/>
      <c r="L20" s="80"/>
      <c r="M20" s="71"/>
    </row>
    <row r="21" spans="1:13" ht="11.85" customHeight="1">
      <c r="A21" s="129"/>
      <c r="B21" s="48"/>
      <c r="C21" s="66"/>
      <c r="D21" s="48" t="e">
        <f ca="1">単価("H","10101010002000000091")</f>
        <v>#NAME?</v>
      </c>
      <c r="E21" s="49" t="e">
        <f ca="1">単価("I@","10101010002000000091")</f>
        <v>#NAME?</v>
      </c>
      <c r="F21" s="92"/>
      <c r="G21" s="94"/>
      <c r="H21" s="93"/>
      <c r="I21" s="91"/>
      <c r="J21" s="48"/>
      <c r="K21" s="49"/>
      <c r="L21" s="48"/>
      <c r="M21" s="50"/>
    </row>
    <row r="22" spans="1:13" ht="11.85" customHeight="1">
      <c r="A22" s="128" t="s">
        <v>2</v>
      </c>
      <c r="B22" s="68"/>
      <c r="C22" s="81"/>
      <c r="D22" s="68" t="e">
        <f ca="1">入数("H","10101010002000000092")</f>
        <v>#NAME?</v>
      </c>
      <c r="E22" s="69" t="e">
        <f ca="1">入数("I","10101010002000000092")</f>
        <v>#NAME?</v>
      </c>
      <c r="F22" s="83" t="e">
        <f ca="1">入数("H","10101010002000000121")</f>
        <v>#NAME?</v>
      </c>
      <c r="G22" s="82" t="e">
        <f ca="1">入数("I","10101010002000000121")</f>
        <v>#NAME?</v>
      </c>
      <c r="H22" s="80"/>
      <c r="I22" s="79"/>
      <c r="J22" s="88"/>
      <c r="K22" s="79"/>
      <c r="L22" s="80"/>
      <c r="M22" s="71"/>
    </row>
    <row r="23" spans="1:13" ht="11.85" customHeight="1">
      <c r="A23" s="129"/>
      <c r="B23" s="48"/>
      <c r="C23" s="66"/>
      <c r="D23" s="48" t="e">
        <f ca="1">単価("H","10101010002000000092")</f>
        <v>#NAME?</v>
      </c>
      <c r="E23" s="49" t="e">
        <f ca="1">単価("I@","10101010002000000092")</f>
        <v>#NAME?</v>
      </c>
      <c r="F23" s="57" t="e">
        <f ca="1">単価("H","10101010002000000121")</f>
        <v>#NAME?</v>
      </c>
      <c r="G23" s="66" t="e">
        <f ca="1">単価("I@","10101010002000000121")</f>
        <v>#NAME?</v>
      </c>
      <c r="H23" s="48"/>
      <c r="I23" s="49"/>
      <c r="J23" s="89"/>
      <c r="K23" s="49"/>
      <c r="L23" s="48"/>
      <c r="M23" s="50"/>
    </row>
    <row r="24" spans="1:13" ht="11.85" customHeight="1">
      <c r="A24" s="128" t="s">
        <v>3</v>
      </c>
      <c r="B24" s="68"/>
      <c r="C24" s="81"/>
      <c r="D24" s="68" t="e">
        <f ca="1">入数("H","10101010002000000093")</f>
        <v>#NAME?</v>
      </c>
      <c r="E24" s="69" t="e">
        <f ca="1">入数("I","10101010002000000093")</f>
        <v>#NAME?</v>
      </c>
      <c r="F24" s="72" t="e">
        <f ca="1">入数("H","10101010002000000122")</f>
        <v>#NAME?</v>
      </c>
      <c r="G24" s="81" t="e">
        <f ca="1">入数("I","10101010002000000122")</f>
        <v>#NAME?</v>
      </c>
      <c r="H24" s="80" t="e">
        <f ca="1">入数("H","10101010002000000162")</f>
        <v>#NAME?</v>
      </c>
      <c r="I24" s="79" t="e">
        <f ca="1">入数("I","10101010002000000162")</f>
        <v>#NAME?</v>
      </c>
      <c r="J24" s="88"/>
      <c r="K24" s="79"/>
      <c r="L24" s="80"/>
      <c r="M24" s="71"/>
    </row>
    <row r="25" spans="1:13" ht="11.85" customHeight="1">
      <c r="A25" s="129"/>
      <c r="B25" s="48"/>
      <c r="C25" s="66"/>
      <c r="D25" s="48" t="e">
        <f ca="1">単価("H","10101010002000000093")</f>
        <v>#NAME?</v>
      </c>
      <c r="E25" s="49" t="e">
        <f ca="1">単価("I@","10101010002000000093")</f>
        <v>#NAME?</v>
      </c>
      <c r="F25" s="57" t="e">
        <f ca="1">単価("H","10101010002000000122")</f>
        <v>#NAME?</v>
      </c>
      <c r="G25" s="66" t="e">
        <f ca="1">単価("I@","10101010002000000122")</f>
        <v>#NAME?</v>
      </c>
      <c r="H25" s="48" t="e">
        <f ca="1">単価("H","10101010002000000162")</f>
        <v>#NAME?</v>
      </c>
      <c r="I25" s="49" t="e">
        <f ca="1">単価("I@","10101010002000000162")</f>
        <v>#NAME?</v>
      </c>
      <c r="J25" s="92"/>
      <c r="K25" s="91"/>
      <c r="L25" s="48"/>
      <c r="M25" s="50"/>
    </row>
    <row r="26" spans="1:13" ht="11.85" customHeight="1">
      <c r="A26" s="128" t="s">
        <v>4</v>
      </c>
      <c r="B26" s="68"/>
      <c r="C26" s="81"/>
      <c r="D26" s="68" t="e">
        <f ca="1">入数("H","10101010002000000094")</f>
        <v>#NAME?</v>
      </c>
      <c r="E26" s="69" t="e">
        <f ca="1">入数("I","10101010002000000094")</f>
        <v>#NAME?</v>
      </c>
      <c r="F26" s="72" t="e">
        <f ca="1">入数("H","10101010002000000123")</f>
        <v>#NAME?</v>
      </c>
      <c r="G26" s="81" t="e">
        <f ca="1">入数("I","10101010002000000123")</f>
        <v>#NAME?</v>
      </c>
      <c r="H26" s="80" t="e">
        <f ca="1">入数("H","10101010002000000163")</f>
        <v>#NAME?</v>
      </c>
      <c r="I26" s="79" t="e">
        <f ca="1">入数("I","10101010002000000163")</f>
        <v>#NAME?</v>
      </c>
      <c r="J26" s="80" t="e">
        <f ca="1">入数("H","10101010002000000178")</f>
        <v>#NAME?</v>
      </c>
      <c r="K26" s="79" t="e">
        <f ca="1">入数("I","10101010002000000178")</f>
        <v>#NAME?</v>
      </c>
      <c r="L26" s="80"/>
      <c r="M26" s="71"/>
    </row>
    <row r="27" spans="1:13" ht="11.85" customHeight="1">
      <c r="A27" s="129"/>
      <c r="B27" s="93"/>
      <c r="C27" s="94"/>
      <c r="D27" s="48" t="e">
        <f ca="1">単価("H","10101010002000000094")</f>
        <v>#NAME?</v>
      </c>
      <c r="E27" s="49" t="e">
        <f ca="1">単価("I@","10101010002000000094")</f>
        <v>#NAME?</v>
      </c>
      <c r="F27" s="57" t="e">
        <f ca="1">単価("H","10101010002000000123")</f>
        <v>#NAME?</v>
      </c>
      <c r="G27" s="66" t="e">
        <f ca="1">単価("I@","10101010002000000123")</f>
        <v>#NAME?</v>
      </c>
      <c r="H27" s="48" t="e">
        <f ca="1">単価("H","10101010002000000163")</f>
        <v>#NAME?</v>
      </c>
      <c r="I27" s="49" t="e">
        <f ca="1">単価("I@","10101010002000000163")</f>
        <v>#NAME?</v>
      </c>
      <c r="J27" s="48" t="e">
        <f ca="1">単価("H","10101010002000000178")</f>
        <v>#NAME?</v>
      </c>
      <c r="K27" s="49" t="e">
        <f ca="1">単価("I@","10101010002000000178")</f>
        <v>#NAME?</v>
      </c>
      <c r="L27" s="48"/>
      <c r="M27" s="50"/>
    </row>
    <row r="28" spans="1:13" ht="11.85" customHeight="1">
      <c r="A28" s="128" t="s">
        <v>7</v>
      </c>
      <c r="B28" s="78" t="e">
        <f ca="1">入数("H","10101010002000000063")</f>
        <v>#NAME?</v>
      </c>
      <c r="C28" s="79" t="e">
        <f ca="1">入数("I","10101010002000000063")</f>
        <v>#NAME?</v>
      </c>
      <c r="D28" s="68" t="e">
        <f ca="1">入数("H","10101010002000000095")</f>
        <v>#NAME?</v>
      </c>
      <c r="E28" s="69" t="e">
        <f ca="1">入数("I","10101010002000000095")</f>
        <v>#NAME?</v>
      </c>
      <c r="F28" s="68" t="e">
        <f ca="1">入数("H","10101010002000000124")</f>
        <v>#NAME?</v>
      </c>
      <c r="G28" s="81" t="e">
        <f ca="1">入数("I","10101010002000000124")</f>
        <v>#NAME?</v>
      </c>
      <c r="H28" s="80" t="e">
        <f ca="1">入数("H","10101010002000000164")</f>
        <v>#NAME?</v>
      </c>
      <c r="I28" s="79" t="e">
        <f ca="1">入数("I","10101010002000000164")</f>
        <v>#NAME?</v>
      </c>
      <c r="J28" s="80" t="e">
        <f ca="1">入数("H","10101010002000000179")</f>
        <v>#NAME?</v>
      </c>
      <c r="K28" s="79" t="e">
        <f ca="1">入数("I","10101010002000000179")</f>
        <v>#NAME?</v>
      </c>
      <c r="L28" s="80"/>
      <c r="M28" s="71"/>
    </row>
    <row r="29" spans="1:13" ht="11.85" customHeight="1">
      <c r="A29" s="129"/>
      <c r="B29" s="61" t="e">
        <f ca="1">単価("H","10101010002000000063")</f>
        <v>#NAME?</v>
      </c>
      <c r="C29" s="49" t="e">
        <f ca="1">単価("I@","10101010002000000063")</f>
        <v>#NAME?</v>
      </c>
      <c r="D29" s="48" t="e">
        <f ca="1">単価("H","10101010002000000095")</f>
        <v>#NAME?</v>
      </c>
      <c r="E29" s="49" t="e">
        <f ca="1">単価("I@","10101010002000000095")</f>
        <v>#NAME?</v>
      </c>
      <c r="F29" s="48" t="e">
        <f ca="1">単価("H","10101010002000000124")</f>
        <v>#NAME?</v>
      </c>
      <c r="G29" s="66" t="e">
        <f ca="1">単価("I@","10101010002000000124")</f>
        <v>#NAME?</v>
      </c>
      <c r="H29" s="48" t="e">
        <f ca="1">単価("H","10101010002000000164")</f>
        <v>#NAME?</v>
      </c>
      <c r="I29" s="49" t="e">
        <f ca="1">単価("I@","10101010002000000164")</f>
        <v>#NAME?</v>
      </c>
      <c r="J29" s="48" t="e">
        <f ca="1">単価("H","10101010002000000179")</f>
        <v>#NAME?</v>
      </c>
      <c r="K29" s="49" t="e">
        <f ca="1">単価("I@","10101010002000000179")</f>
        <v>#NAME?</v>
      </c>
      <c r="L29" s="93"/>
      <c r="M29" s="90"/>
    </row>
    <row r="30" spans="1:13" ht="11.85" customHeight="1">
      <c r="A30" s="128" t="s">
        <v>8</v>
      </c>
      <c r="B30" s="72" t="e">
        <f ca="1">入数("H","10101010002000000064")</f>
        <v>#NAME?</v>
      </c>
      <c r="C30" s="69" t="e">
        <f ca="1">入数("I","10101010002000000064")</f>
        <v>#NAME?</v>
      </c>
      <c r="D30" s="68" t="e">
        <f ca="1">入数("H","10101010002000000096")</f>
        <v>#NAME?</v>
      </c>
      <c r="E30" s="69" t="e">
        <f ca="1">入数("I","10101010002000000096")</f>
        <v>#NAME?</v>
      </c>
      <c r="F30" s="68" t="e">
        <f ca="1">入数("H","10101010002000000125")</f>
        <v>#NAME?</v>
      </c>
      <c r="G30" s="81" t="e">
        <f ca="1">入数("I","10101010002000000125")</f>
        <v>#NAME?</v>
      </c>
      <c r="H30" s="80"/>
      <c r="I30" s="79"/>
      <c r="J30" s="80" t="e">
        <f ca="1">入数("H","10101010002000000180")</f>
        <v>#NAME?</v>
      </c>
      <c r="K30" s="79" t="e">
        <f ca="1">入数("I","10101010002000000180")</f>
        <v>#NAME?</v>
      </c>
      <c r="L30" s="80" t="e">
        <f ca="1">入数("H","10101010002000000231")</f>
        <v>#NAME?</v>
      </c>
      <c r="M30" s="71" t="e">
        <f ca="1">入数("I","10101010002000000231")</f>
        <v>#NAME?</v>
      </c>
    </row>
    <row r="31" spans="1:13" ht="11.85" customHeight="1">
      <c r="A31" s="129"/>
      <c r="B31" s="57" t="e">
        <f ca="1">単価("H","10101010002000000064")</f>
        <v>#NAME?</v>
      </c>
      <c r="C31" s="49" t="e">
        <f ca="1">単価("I@","10101010002000000064")</f>
        <v>#NAME?</v>
      </c>
      <c r="D31" s="48" t="e">
        <f ca="1">単価("H","10101010002000000096")</f>
        <v>#NAME?</v>
      </c>
      <c r="E31" s="49" t="e">
        <f ca="1">単価("I@","10101010002000000096")</f>
        <v>#NAME?</v>
      </c>
      <c r="F31" s="48" t="e">
        <f ca="1">単価("H","10101010002000000125")</f>
        <v>#NAME?</v>
      </c>
      <c r="G31" s="66" t="e">
        <f ca="1">単価("I@","10101010002000000125")</f>
        <v>#NAME?</v>
      </c>
      <c r="H31" s="48"/>
      <c r="I31" s="49"/>
      <c r="J31" s="48" t="e">
        <f ca="1">単価("H","10101010002000000180")</f>
        <v>#NAME?</v>
      </c>
      <c r="K31" s="49" t="e">
        <f ca="1">単価("I@","10101010002000000180")</f>
        <v>#NAME?</v>
      </c>
      <c r="L31" s="48" t="e">
        <f ca="1">単価("H","10101010002000000231")</f>
        <v>#NAME?</v>
      </c>
      <c r="M31" s="50" t="e">
        <f ca="1">単価("I@","10101010002000000231")</f>
        <v>#NAME?</v>
      </c>
    </row>
    <row r="32" spans="1:13" ht="11.85" customHeight="1">
      <c r="A32" s="128" t="s">
        <v>9</v>
      </c>
      <c r="B32" s="72" t="e">
        <f ca="1">入数("H","10101010002000000065")</f>
        <v>#NAME?</v>
      </c>
      <c r="C32" s="69" t="e">
        <f ca="1">入数("I","10101010002000000065")</f>
        <v>#NAME?</v>
      </c>
      <c r="D32" s="68" t="e">
        <f ca="1">入数("H","10101010002000000097")</f>
        <v>#NAME?</v>
      </c>
      <c r="E32" s="69" t="e">
        <f ca="1">入数("I","10101010002000000097")</f>
        <v>#NAME?</v>
      </c>
      <c r="F32" s="68" t="e">
        <f ca="1">入数("H","10101010002000000126")</f>
        <v>#NAME?</v>
      </c>
      <c r="G32" s="81" t="e">
        <f ca="1">入数("I","10101010002000000126")</f>
        <v>#NAME?</v>
      </c>
      <c r="H32" s="80"/>
      <c r="I32" s="79"/>
      <c r="J32" s="80" t="e">
        <f ca="1">入数("H","10101010002000000181")</f>
        <v>#NAME?</v>
      </c>
      <c r="K32" s="79" t="e">
        <f ca="1">入数("I","10101010002000000181")</f>
        <v>#NAME?</v>
      </c>
      <c r="L32" s="80" t="e">
        <f ca="1">入数("H","10101010002000000232")</f>
        <v>#NAME?</v>
      </c>
      <c r="M32" s="71" t="e">
        <f ca="1">入数("I","10101010002000000232")</f>
        <v>#NAME?</v>
      </c>
    </row>
    <row r="33" spans="1:13" ht="11.85" customHeight="1">
      <c r="A33" s="129"/>
      <c r="B33" s="57" t="e">
        <f ca="1">単価("H","10101010002000000065")</f>
        <v>#NAME?</v>
      </c>
      <c r="C33" s="49" t="e">
        <f ca="1">単価("I@","10101010002000000065")</f>
        <v>#NAME?</v>
      </c>
      <c r="D33" s="48" t="e">
        <f ca="1">単価("H","10101010002000000097")</f>
        <v>#NAME?</v>
      </c>
      <c r="E33" s="49" t="e">
        <f ca="1">単価("I@","10101010002000000097")</f>
        <v>#NAME?</v>
      </c>
      <c r="F33" s="48" t="e">
        <f ca="1">単価("H","10101010002000000126")</f>
        <v>#NAME?</v>
      </c>
      <c r="G33" s="66" t="e">
        <f ca="1">単価("I@","10101010002000000126")</f>
        <v>#NAME?</v>
      </c>
      <c r="H33" s="48"/>
      <c r="I33" s="49"/>
      <c r="J33" s="48" t="e">
        <f ca="1">単価("H","10101010002000000181")</f>
        <v>#NAME?</v>
      </c>
      <c r="K33" s="49" t="e">
        <f ca="1">単価("I@","10101010002000000181")</f>
        <v>#NAME?</v>
      </c>
      <c r="L33" s="48" t="e">
        <f ca="1">単価("H","10101010002000000232")</f>
        <v>#NAME?</v>
      </c>
      <c r="M33" s="50" t="e">
        <f ca="1">単価("I@","10101010002000000232")</f>
        <v>#NAME?</v>
      </c>
    </row>
    <row r="34" spans="1:13" ht="11.85" customHeight="1">
      <c r="A34" s="128" t="s">
        <v>10</v>
      </c>
      <c r="B34" s="72" t="e">
        <f ca="1">入数("H","10101010002000000066")</f>
        <v>#NAME?</v>
      </c>
      <c r="C34" s="69" t="e">
        <f ca="1">入数("I","10101010002000000066")</f>
        <v>#NAME?</v>
      </c>
      <c r="D34" s="68" t="e">
        <f ca="1">入数("H","10101010002000000098")</f>
        <v>#NAME?</v>
      </c>
      <c r="E34" s="69" t="e">
        <f ca="1">入数("I","10101010002000000098")</f>
        <v>#NAME?</v>
      </c>
      <c r="F34" s="68" t="e">
        <f ca="1">入数("H","10101010002000000127")</f>
        <v>#NAME?</v>
      </c>
      <c r="G34" s="81" t="e">
        <f ca="1">入数("I","10101010002000000127")</f>
        <v>#NAME?</v>
      </c>
      <c r="H34" s="80" t="e">
        <f ca="1">入数("H","10101010002000000167")</f>
        <v>#NAME?</v>
      </c>
      <c r="I34" s="79" t="e">
        <f ca="1">入数("I","10101010002000000167")</f>
        <v>#NAME?</v>
      </c>
      <c r="J34" s="80" t="e">
        <f ca="1">入数("H","10101010002000000182")</f>
        <v>#NAME?</v>
      </c>
      <c r="K34" s="79" t="e">
        <f ca="1">入数("I","10101010002000000182")</f>
        <v>#NAME?</v>
      </c>
      <c r="L34" s="80" t="e">
        <f ca="1">入数("H","10101010002000000233")</f>
        <v>#NAME?</v>
      </c>
      <c r="M34" s="71" t="e">
        <f ca="1">入数("I","10101010002000000233")</f>
        <v>#NAME?</v>
      </c>
    </row>
    <row r="35" spans="1:13" ht="11.85" customHeight="1">
      <c r="A35" s="129"/>
      <c r="B35" s="57" t="e">
        <f ca="1">単価("H","10101010002000000066")</f>
        <v>#NAME?</v>
      </c>
      <c r="C35" s="49" t="e">
        <f ca="1">単価("I@","10101010002000000066")</f>
        <v>#NAME?</v>
      </c>
      <c r="D35" s="48" t="e">
        <f ca="1">単価("H","10101010002000000098")</f>
        <v>#NAME?</v>
      </c>
      <c r="E35" s="49" t="e">
        <f ca="1">単価("I@","10101010002000000098")</f>
        <v>#NAME?</v>
      </c>
      <c r="F35" s="48" t="e">
        <f ca="1">単価("H","10101010002000000127")</f>
        <v>#NAME?</v>
      </c>
      <c r="G35" s="66" t="e">
        <f ca="1">単価("I@","10101010002000000127")</f>
        <v>#NAME?</v>
      </c>
      <c r="H35" s="48" t="e">
        <f ca="1">単価("H","10101010002000000167")</f>
        <v>#NAME?</v>
      </c>
      <c r="I35" s="49" t="e">
        <f ca="1">単価("I@","10101010002000000167")</f>
        <v>#NAME?</v>
      </c>
      <c r="J35" s="48" t="e">
        <f ca="1">単価("H","10101010002000000182")</f>
        <v>#NAME?</v>
      </c>
      <c r="K35" s="49" t="e">
        <f ca="1">単価("I@","10101010002000000182")</f>
        <v>#NAME?</v>
      </c>
      <c r="L35" s="48" t="e">
        <f ca="1">単価("H","10101010002000000233")</f>
        <v>#NAME?</v>
      </c>
      <c r="M35" s="50" t="e">
        <f ca="1">単価("I@","10101010002000000233")</f>
        <v>#NAME?</v>
      </c>
    </row>
    <row r="36" spans="1:13" ht="11.85" customHeight="1">
      <c r="A36" s="128" t="s">
        <v>11</v>
      </c>
      <c r="B36" s="72" t="e">
        <f ca="1">入数("H","10101010002000000067")</f>
        <v>#NAME?</v>
      </c>
      <c r="C36" s="69" t="e">
        <f ca="1">入数("I","10101010002000000067")</f>
        <v>#NAME?</v>
      </c>
      <c r="D36" s="68" t="e">
        <f ca="1">入数("H","10101010002000000099")</f>
        <v>#NAME?</v>
      </c>
      <c r="E36" s="69" t="e">
        <f ca="1">入数("I","10101010002000000099")</f>
        <v>#NAME?</v>
      </c>
      <c r="F36" s="68" t="e">
        <f ca="1">入数("H","10101010002000000128")</f>
        <v>#NAME?</v>
      </c>
      <c r="G36" s="81" t="e">
        <f ca="1">入数("I","10101010002000000128")</f>
        <v>#NAME?</v>
      </c>
      <c r="H36" s="80"/>
      <c r="I36" s="79"/>
      <c r="J36" s="80" t="e">
        <f ca="1">入数("H","10101010002000000183")</f>
        <v>#NAME?</v>
      </c>
      <c r="K36" s="79" t="e">
        <f ca="1">入数("I","10101010002000000183")</f>
        <v>#NAME?</v>
      </c>
      <c r="L36" s="80" t="e">
        <f ca="1">入数("H","10101010002000000234")</f>
        <v>#NAME?</v>
      </c>
      <c r="M36" s="71" t="e">
        <f ca="1">入数("I","10101010002000000234")</f>
        <v>#NAME?</v>
      </c>
    </row>
    <row r="37" spans="1:13" ht="11.85" customHeight="1">
      <c r="A37" s="129"/>
      <c r="B37" s="57" t="e">
        <f ca="1">単価("H","10101010002000000067")</f>
        <v>#NAME?</v>
      </c>
      <c r="C37" s="49" t="e">
        <f ca="1">単価("I@","10101010002000000067")</f>
        <v>#NAME?</v>
      </c>
      <c r="D37" s="48" t="e">
        <f ca="1">単価("H","10101010002000000099")</f>
        <v>#NAME?</v>
      </c>
      <c r="E37" s="49" t="e">
        <f ca="1">単価("I@","10101010002000000099")</f>
        <v>#NAME?</v>
      </c>
      <c r="F37" s="48" t="e">
        <f ca="1">単価("H","10101010002000000128")</f>
        <v>#NAME?</v>
      </c>
      <c r="G37" s="66" t="e">
        <f ca="1">単価("I@","10101010002000000128")</f>
        <v>#NAME?</v>
      </c>
      <c r="H37" s="48"/>
      <c r="I37" s="49"/>
      <c r="J37" s="48" t="e">
        <f ca="1">単価("H","10101010002000000183")</f>
        <v>#NAME?</v>
      </c>
      <c r="K37" s="49" t="e">
        <f ca="1">単価("I@","10101010002000000183")</f>
        <v>#NAME?</v>
      </c>
      <c r="L37" s="48" t="e">
        <f ca="1">単価("H","10101010002000000234")</f>
        <v>#NAME?</v>
      </c>
      <c r="M37" s="50" t="e">
        <f ca="1">単価("I@","10101010002000000234")</f>
        <v>#NAME?</v>
      </c>
    </row>
    <row r="38" spans="1:13" ht="11.85" customHeight="1">
      <c r="A38" s="128" t="s">
        <v>12</v>
      </c>
      <c r="B38" s="72" t="e">
        <f ca="1">入数("H","10101010002000000068")</f>
        <v>#NAME?</v>
      </c>
      <c r="C38" s="69" t="e">
        <f ca="1">入数("I","10101010002000000068")</f>
        <v>#NAME?</v>
      </c>
      <c r="D38" s="68" t="e">
        <f ca="1">入数("H","10101010002000000100")</f>
        <v>#NAME?</v>
      </c>
      <c r="E38" s="69" t="e">
        <f ca="1">入数("I","10101010002000000100")</f>
        <v>#NAME?</v>
      </c>
      <c r="F38" s="68" t="e">
        <f ca="1">入数("H","10101010002000000129")</f>
        <v>#NAME?</v>
      </c>
      <c r="G38" s="81" t="e">
        <f ca="1">入数("I","10101010002000000129")</f>
        <v>#NAME?</v>
      </c>
      <c r="H38" s="80"/>
      <c r="I38" s="79"/>
      <c r="J38" s="80" t="e">
        <f ca="1">入数("H","10101010002000000184")</f>
        <v>#NAME?</v>
      </c>
      <c r="K38" s="79" t="e">
        <f ca="1">入数("I","10101010002000000184")</f>
        <v>#NAME?</v>
      </c>
      <c r="L38" s="80" t="e">
        <f ca="1">入数("H","10101010002000000235")</f>
        <v>#NAME?</v>
      </c>
      <c r="M38" s="71" t="e">
        <f ca="1">入数("I","10101010002000000235")</f>
        <v>#NAME?</v>
      </c>
    </row>
    <row r="39" spans="1:13" ht="11.85" customHeight="1">
      <c r="A39" s="129"/>
      <c r="B39" s="57" t="e">
        <f ca="1">単価("H","10101010002000000068")</f>
        <v>#NAME?</v>
      </c>
      <c r="C39" s="49" t="e">
        <f ca="1">単価("I@","10101010002000000068")</f>
        <v>#NAME?</v>
      </c>
      <c r="D39" s="48" t="e">
        <f ca="1">単価("H","10101010002000000100")</f>
        <v>#NAME?</v>
      </c>
      <c r="E39" s="49" t="e">
        <f ca="1">単価("I@","10101010002000000100")</f>
        <v>#NAME?</v>
      </c>
      <c r="F39" s="48" t="e">
        <f ca="1">単価("H","10101010002000000129")</f>
        <v>#NAME?</v>
      </c>
      <c r="G39" s="66" t="e">
        <f ca="1">単価("I@","10101010002000000129")</f>
        <v>#NAME?</v>
      </c>
      <c r="H39" s="48"/>
      <c r="I39" s="49"/>
      <c r="J39" s="48" t="e">
        <f ca="1">単価("H","10101010002000000184")</f>
        <v>#NAME?</v>
      </c>
      <c r="K39" s="49" t="e">
        <f ca="1">単価("I@","10101010002000000184")</f>
        <v>#NAME?</v>
      </c>
      <c r="L39" s="48" t="e">
        <f ca="1">単価("H","10101010002000000235")</f>
        <v>#NAME?</v>
      </c>
      <c r="M39" s="50" t="e">
        <f ca="1">単価("I@","10101010002000000235")</f>
        <v>#NAME?</v>
      </c>
    </row>
    <row r="40" spans="1:13" ht="11.85" customHeight="1">
      <c r="A40" s="128" t="s">
        <v>15</v>
      </c>
      <c r="B40" s="72" t="e">
        <f ca="1">入数("H","10101010002000000069")</f>
        <v>#NAME?</v>
      </c>
      <c r="C40" s="69" t="e">
        <f ca="1">入数("I","10101010002000000069")</f>
        <v>#NAME?</v>
      </c>
      <c r="D40" s="68" t="e">
        <f ca="1">入数("H","10101010002000000101")</f>
        <v>#NAME?</v>
      </c>
      <c r="E40" s="69" t="e">
        <f ca="1">入数("I","10101010002000000101")</f>
        <v>#NAME?</v>
      </c>
      <c r="F40" s="68" t="e">
        <f ca="1">入数("H","10101010002000000130")</f>
        <v>#NAME?</v>
      </c>
      <c r="G40" s="81" t="e">
        <f ca="1">入数("I","10101010002000000130")</f>
        <v>#NAME?</v>
      </c>
      <c r="H40" s="80"/>
      <c r="I40" s="79"/>
      <c r="J40" s="80" t="e">
        <f ca="1">入数("H","10101010002000000185")</f>
        <v>#NAME?</v>
      </c>
      <c r="K40" s="79" t="e">
        <f ca="1">入数("I","10101010002000000185")</f>
        <v>#NAME?</v>
      </c>
      <c r="L40" s="80" t="e">
        <f ca="1">入数("H","10101010002000000236")</f>
        <v>#NAME?</v>
      </c>
      <c r="M40" s="71" t="e">
        <f ca="1">入数("I","10101010002000000236")</f>
        <v>#NAME?</v>
      </c>
    </row>
    <row r="41" spans="1:13" ht="11.85" customHeight="1">
      <c r="A41" s="129"/>
      <c r="B41" s="57" t="e">
        <f ca="1">単価("H","10101010002000000069")</f>
        <v>#NAME?</v>
      </c>
      <c r="C41" s="49" t="e">
        <f ca="1">単価("I@","10101010002000000069")</f>
        <v>#NAME?</v>
      </c>
      <c r="D41" s="48" t="e">
        <f ca="1">単価("H","10101010002000000101")</f>
        <v>#NAME?</v>
      </c>
      <c r="E41" s="49" t="e">
        <f ca="1">単価("I@","10101010002000000101")</f>
        <v>#NAME?</v>
      </c>
      <c r="F41" s="48" t="e">
        <f ca="1">単価("H","10101010002000000130")</f>
        <v>#NAME?</v>
      </c>
      <c r="G41" s="66" t="e">
        <f ca="1">単価("I@","10101010002000000130")</f>
        <v>#NAME?</v>
      </c>
      <c r="H41" s="48"/>
      <c r="I41" s="49"/>
      <c r="J41" s="48" t="e">
        <f ca="1">単価("H","10101010002000000185")</f>
        <v>#NAME?</v>
      </c>
      <c r="K41" s="49" t="e">
        <f ca="1">単価("I@","10101010002000000185")</f>
        <v>#NAME?</v>
      </c>
      <c r="L41" s="48" t="e">
        <f ca="1">単価("H","10101010002000000236")</f>
        <v>#NAME?</v>
      </c>
      <c r="M41" s="50" t="e">
        <f ca="1">単価("I@","10101010002000000236")</f>
        <v>#NAME?</v>
      </c>
    </row>
    <row r="42" spans="1:13" ht="11.85" customHeight="1">
      <c r="A42" s="128" t="s">
        <v>13</v>
      </c>
      <c r="B42" s="72" t="e">
        <f ca="1">入数("H","10101010002000000070")</f>
        <v>#NAME?</v>
      </c>
      <c r="C42" s="69" t="e">
        <f ca="1">入数("I","10101010002000000070")</f>
        <v>#NAME?</v>
      </c>
      <c r="D42" s="68" t="e">
        <f ca="1">入数("H","10101010002000000102")</f>
        <v>#NAME?</v>
      </c>
      <c r="E42" s="69" t="e">
        <f ca="1">入数("I","10101010002000000102")</f>
        <v>#NAME?</v>
      </c>
      <c r="F42" s="68" t="e">
        <f ca="1">入数("H","10101010002000000131")</f>
        <v>#NAME?</v>
      </c>
      <c r="G42" s="81" t="e">
        <f ca="1">入数("I","10101010002000000131")</f>
        <v>#NAME?</v>
      </c>
      <c r="H42" s="80"/>
      <c r="I42" s="79"/>
      <c r="J42" s="80" t="e">
        <f ca="1">入数("H","10101010002000000186")</f>
        <v>#NAME?</v>
      </c>
      <c r="K42" s="79" t="e">
        <f ca="1">入数("I","10101010002000000186")</f>
        <v>#NAME?</v>
      </c>
      <c r="L42" s="80" t="e">
        <f ca="1">入数("H","10101010002000000237")</f>
        <v>#NAME?</v>
      </c>
      <c r="M42" s="71" t="e">
        <f ca="1">入数("I","10101010002000000237")</f>
        <v>#NAME?</v>
      </c>
    </row>
    <row r="43" spans="1:13" ht="11.85" customHeight="1">
      <c r="A43" s="129"/>
      <c r="B43" s="57" t="e">
        <f ca="1">単価("H","10101010002000000070")</f>
        <v>#NAME?</v>
      </c>
      <c r="C43" s="49" t="e">
        <f ca="1">単価("I@","10101010002000000070")</f>
        <v>#NAME?</v>
      </c>
      <c r="D43" s="48" t="e">
        <f ca="1">単価("H","10101010002000000102")</f>
        <v>#NAME?</v>
      </c>
      <c r="E43" s="49" t="e">
        <f ca="1">単価("I@","10101010002000000102")</f>
        <v>#NAME?</v>
      </c>
      <c r="F43" s="48" t="e">
        <f ca="1">単価("H","10101010002000000131")</f>
        <v>#NAME?</v>
      </c>
      <c r="G43" s="66" t="e">
        <f ca="1">単価("I@","10101010002000000131")</f>
        <v>#NAME?</v>
      </c>
      <c r="H43" s="48"/>
      <c r="I43" s="49"/>
      <c r="J43" s="48" t="e">
        <f ca="1">単価("H","10101010002000000186")</f>
        <v>#NAME?</v>
      </c>
      <c r="K43" s="49" t="e">
        <f ca="1">単価("I@","10101010002000000186")</f>
        <v>#NAME?</v>
      </c>
      <c r="L43" s="48" t="e">
        <f ca="1">単価("H","10101010002000000237")</f>
        <v>#NAME?</v>
      </c>
      <c r="M43" s="50" t="e">
        <f ca="1">単価("I@","10101010002000000237")</f>
        <v>#NAME?</v>
      </c>
    </row>
    <row r="44" spans="1:13" ht="11.85" customHeight="1">
      <c r="A44" s="128" t="s">
        <v>16</v>
      </c>
      <c r="B44" s="39"/>
      <c r="C44" s="34"/>
      <c r="D44" s="68" t="e">
        <f ca="1">入数("H","10101010002000000103")</f>
        <v>#NAME?</v>
      </c>
      <c r="E44" s="69" t="e">
        <f ca="1">入数("I","10101010002000000103")</f>
        <v>#NAME?</v>
      </c>
      <c r="F44" s="68" t="e">
        <f ca="1">入数("H","10101010002000000132")</f>
        <v>#NAME?</v>
      </c>
      <c r="G44" s="81" t="e">
        <f ca="1">入数("I","10101010002000000132")</f>
        <v>#NAME?</v>
      </c>
      <c r="H44" s="32"/>
      <c r="I44" s="98"/>
      <c r="J44" s="80" t="e">
        <f ca="1">入数("H","10101010002000000187")</f>
        <v>#NAME?</v>
      </c>
      <c r="K44" s="79" t="e">
        <f ca="1">入数("I","10101010002000000187")</f>
        <v>#NAME?</v>
      </c>
      <c r="L44" s="80" t="e">
        <f ca="1">入数("H","10101010002000000238")</f>
        <v>#NAME?</v>
      </c>
      <c r="M44" s="71" t="e">
        <f ca="1">入数("I","10101010002000000238")</f>
        <v>#NAME?</v>
      </c>
    </row>
    <row r="45" spans="1:13" ht="11.85" customHeight="1">
      <c r="A45" s="129"/>
      <c r="B45" s="40"/>
      <c r="C45" s="19"/>
      <c r="D45" s="48" t="e">
        <f ca="1">単価("H","10101010002000000103")</f>
        <v>#NAME?</v>
      </c>
      <c r="E45" s="49" t="e">
        <f ca="1">単価("I@","10101010002000000103")</f>
        <v>#NAME?</v>
      </c>
      <c r="F45" s="48" t="e">
        <f ca="1">単価("H","10101010002000000132")</f>
        <v>#NAME?</v>
      </c>
      <c r="G45" s="66" t="e">
        <f ca="1">単価("I@","10101010002000000132")</f>
        <v>#NAME?</v>
      </c>
      <c r="H45" s="18"/>
      <c r="I45" s="99"/>
      <c r="J45" s="48" t="e">
        <f ca="1">単価("H","10101010002000000187")</f>
        <v>#NAME?</v>
      </c>
      <c r="K45" s="49" t="e">
        <f ca="1">単価("I@","10101010002000000187")</f>
        <v>#NAME?</v>
      </c>
      <c r="L45" s="48" t="e">
        <f ca="1">単価("H","10101010002000000238")</f>
        <v>#NAME?</v>
      </c>
      <c r="M45" s="50" t="e">
        <f ca="1">単価("I@","10101010002000000238")</f>
        <v>#NAME?</v>
      </c>
    </row>
    <row r="46" spans="1:13" ht="11.85" customHeight="1">
      <c r="A46" s="128" t="s">
        <v>17</v>
      </c>
      <c r="B46" s="72" t="e">
        <f ca="1">入数("H","10101010002000000071")</f>
        <v>#NAME?</v>
      </c>
      <c r="C46" s="69" t="e">
        <f ca="1">入数("I","10101010002000000071")</f>
        <v>#NAME?</v>
      </c>
      <c r="D46" s="68" t="e">
        <f ca="1">入数("H","10101010002000000104")</f>
        <v>#NAME?</v>
      </c>
      <c r="E46" s="69" t="e">
        <f ca="1">入数("I","10101010002000000104")</f>
        <v>#NAME?</v>
      </c>
      <c r="F46" s="68" t="e">
        <f ca="1">入数("H","10101010002000000133")</f>
        <v>#NAME?</v>
      </c>
      <c r="G46" s="81" t="e">
        <f ca="1">入数("I","10101010002000000133")</f>
        <v>#NAME?</v>
      </c>
      <c r="H46" s="80"/>
      <c r="I46" s="79"/>
      <c r="J46" s="80" t="e">
        <f ca="1">入数("H","10101010002000000188")</f>
        <v>#NAME?</v>
      </c>
      <c r="K46" s="79" t="e">
        <f ca="1">入数("I","10101010002000000188")</f>
        <v>#NAME?</v>
      </c>
      <c r="L46" s="80" t="e">
        <f ca="1">入数("H","10101010002000000239")</f>
        <v>#NAME?</v>
      </c>
      <c r="M46" s="71" t="e">
        <f ca="1">入数("I","10101010002000000239")</f>
        <v>#NAME?</v>
      </c>
    </row>
    <row r="47" spans="1:13" ht="11.85" customHeight="1">
      <c r="A47" s="134"/>
      <c r="B47" s="87" t="e">
        <f ca="1">単価("H","10101010002000000071")</f>
        <v>#NAME?</v>
      </c>
      <c r="C47" s="62" t="e">
        <f ca="1">単価("I@","10101010002000000071")</f>
        <v>#NAME?</v>
      </c>
      <c r="D47" s="64" t="e">
        <f ca="1">単価("H","10101010002000000104")</f>
        <v>#NAME?</v>
      </c>
      <c r="E47" s="62" t="e">
        <f ca="1">単価("I@","10101010002000000104")</f>
        <v>#NAME?</v>
      </c>
      <c r="F47" s="64" t="e">
        <f ca="1">単価("H","10101010002000000133")</f>
        <v>#NAME?</v>
      </c>
      <c r="G47" s="63" t="e">
        <f ca="1">単価("I@","10101010002000000133")</f>
        <v>#NAME?</v>
      </c>
      <c r="H47" s="64"/>
      <c r="I47" s="62"/>
      <c r="J47" s="64" t="e">
        <f ca="1">単価("H","10101010002000000188")</f>
        <v>#NAME?</v>
      </c>
      <c r="K47" s="62" t="e">
        <f ca="1">単価("I@","10101010002000000188")</f>
        <v>#NAME?</v>
      </c>
      <c r="L47" s="64" t="e">
        <f ca="1">単価("H","10101010002000000239")</f>
        <v>#NAME?</v>
      </c>
      <c r="M47" s="67" t="e">
        <f ca="1">単価("I@","10101010002000000239")</f>
        <v>#NAME?</v>
      </c>
    </row>
    <row r="48" spans="1:13" ht="11.85" customHeight="1">
      <c r="A48" s="128" t="s">
        <v>36</v>
      </c>
      <c r="B48" s="102" t="e">
        <f ca="1">入数("H","10101010002000000072")</f>
        <v>#NAME?</v>
      </c>
      <c r="C48" s="79" t="e">
        <f ca="1">入数("I","10101010002000000072")</f>
        <v>#NAME?</v>
      </c>
      <c r="D48" s="80" t="e">
        <f ca="1">入数("H","10101010002000000105")</f>
        <v>#NAME?</v>
      </c>
      <c r="E48" s="79" t="e">
        <f ca="1">入数("I","10101010002000000105")</f>
        <v>#NAME?</v>
      </c>
      <c r="F48" s="80" t="e">
        <f ca="1">入数("H","10101010002000000134")</f>
        <v>#NAME?</v>
      </c>
      <c r="G48" s="82" t="e">
        <f ca="1">入数("I","10101010002000000134")</f>
        <v>#NAME?</v>
      </c>
      <c r="H48" s="31"/>
      <c r="I48" s="36"/>
      <c r="J48" s="80" t="e">
        <f ca="1">入数("H","10101010002000000189")</f>
        <v>#NAME?</v>
      </c>
      <c r="K48" s="79" t="e">
        <f ca="1">入数("I","10101010002000000189")</f>
        <v>#NAME?</v>
      </c>
      <c r="L48" s="80" t="e">
        <f ca="1">入数("H","10101010002000000240")</f>
        <v>#NAME?</v>
      </c>
      <c r="M48" s="71" t="e">
        <f ca="1">入数("I","10101010002000000240")</f>
        <v>#NAME?</v>
      </c>
    </row>
    <row r="49" spans="1:31" ht="11.85" customHeight="1">
      <c r="A49" s="133"/>
      <c r="B49" s="59" t="e">
        <f ca="1">単価("H","10101010002000000072")</f>
        <v>#NAME?</v>
      </c>
      <c r="C49" s="49" t="e">
        <f ca="1">単価("I@","10101010002000000072")</f>
        <v>#NAME?</v>
      </c>
      <c r="D49" s="48" t="e">
        <f ca="1">単価("H","10101010002000000105")</f>
        <v>#NAME?</v>
      </c>
      <c r="E49" s="49" t="e">
        <f ca="1">単価("I@","10101010002000000105")</f>
        <v>#NAME?</v>
      </c>
      <c r="F49" s="48" t="e">
        <f ca="1">単価("H","10101010002000000134")</f>
        <v>#NAME?</v>
      </c>
      <c r="G49" s="66" t="e">
        <f ca="1">単価("I@","10101010002000000134")</f>
        <v>#NAME?</v>
      </c>
      <c r="H49" s="17"/>
      <c r="I49" s="29"/>
      <c r="J49" s="48" t="e">
        <f ca="1">単価("H","10101010002000000189")</f>
        <v>#NAME?</v>
      </c>
      <c r="K49" s="49" t="e">
        <f ca="1">単価("I@","10101010002000000189")</f>
        <v>#NAME?</v>
      </c>
      <c r="L49" s="48" t="e">
        <f ca="1">単価("H","10101010002000000240")</f>
        <v>#NAME?</v>
      </c>
      <c r="M49" s="50" t="e">
        <f ca="1">単価("I@","10101010002000000240")</f>
        <v>#NAME?</v>
      </c>
    </row>
    <row r="50" spans="1:31" ht="11.85" customHeight="1">
      <c r="A50" s="128" t="s">
        <v>37</v>
      </c>
      <c r="B50" s="74" t="e">
        <f ca="1">入数("H","10101010002000000073")</f>
        <v>#NAME?</v>
      </c>
      <c r="C50" s="69" t="e">
        <f ca="1">入数("I","10101010002000000073")</f>
        <v>#NAME?</v>
      </c>
      <c r="D50" s="68" t="e">
        <f ca="1">入数("H","10101010002000000106")</f>
        <v>#NAME?</v>
      </c>
      <c r="E50" s="69" t="e">
        <f ca="1">入数("I","10101010002000000106")</f>
        <v>#NAME?</v>
      </c>
      <c r="F50" s="68" t="e">
        <f ca="1">入数("H","10101010002000000135")</f>
        <v>#NAME?</v>
      </c>
      <c r="G50" s="81" t="e">
        <f ca="1">入数("I","10101010002000000135")</f>
        <v>#NAME?</v>
      </c>
      <c r="H50" s="31"/>
      <c r="I50" s="36"/>
      <c r="J50" s="80" t="e">
        <f ca="1">入数("H","10101010002000000190")</f>
        <v>#NAME?</v>
      </c>
      <c r="K50" s="79" t="e">
        <f ca="1">入数("I","10101010002000000190")</f>
        <v>#NAME?</v>
      </c>
      <c r="L50" s="80" t="e">
        <f ca="1">入数("H","10101010002000000241")</f>
        <v>#NAME?</v>
      </c>
      <c r="M50" s="71" t="e">
        <f ca="1">入数("I","10101010002000000241")</f>
        <v>#NAME?</v>
      </c>
    </row>
    <row r="51" spans="1:31" ht="11.85" customHeight="1">
      <c r="A51" s="133"/>
      <c r="B51" s="59" t="e">
        <f ca="1">単価("H","10101010002000000073")</f>
        <v>#NAME?</v>
      </c>
      <c r="C51" s="49" t="e">
        <f ca="1">単価("I@","10101010002000000073")</f>
        <v>#NAME?</v>
      </c>
      <c r="D51" s="48" t="e">
        <f ca="1">単価("H","10101010002000000106")</f>
        <v>#NAME?</v>
      </c>
      <c r="E51" s="49" t="e">
        <f ca="1">単価("I@","10101010002000000106")</f>
        <v>#NAME?</v>
      </c>
      <c r="F51" s="48" t="e">
        <f ca="1">単価("H","10101010002000000135")</f>
        <v>#NAME?</v>
      </c>
      <c r="G51" s="66" t="e">
        <f ca="1">単価("I@","10101010002000000135")</f>
        <v>#NAME?</v>
      </c>
      <c r="H51" s="17"/>
      <c r="I51" s="29"/>
      <c r="J51" s="48" t="e">
        <f ca="1">単価("H","10101010002000000190")</f>
        <v>#NAME?</v>
      </c>
      <c r="K51" s="49" t="e">
        <f ca="1">単価("I@","10101010002000000190")</f>
        <v>#NAME?</v>
      </c>
      <c r="L51" s="48" t="e">
        <f ca="1">単価("H","10101010002000000241")</f>
        <v>#NAME?</v>
      </c>
      <c r="M51" s="50" t="e">
        <f ca="1">単価("I@","10101010002000000241")</f>
        <v>#NAME?</v>
      </c>
      <c r="AD51" s="3"/>
    </row>
    <row r="52" spans="1:31" ht="11.85" customHeight="1">
      <c r="A52" s="128" t="s">
        <v>38</v>
      </c>
      <c r="B52" s="74" t="e">
        <f ca="1">入数("H","10101010002000000074")</f>
        <v>#NAME?</v>
      </c>
      <c r="C52" s="69" t="e">
        <f ca="1">入数("I","10101010002000000074")</f>
        <v>#NAME?</v>
      </c>
      <c r="D52" s="68" t="e">
        <f ca="1">入数("H","10101010002000000107")</f>
        <v>#NAME?</v>
      </c>
      <c r="E52" s="69" t="e">
        <f ca="1">入数("I","10101010002000000107")</f>
        <v>#NAME?</v>
      </c>
      <c r="F52" s="68" t="e">
        <f ca="1">入数("H","10101010002000000136")</f>
        <v>#NAME?</v>
      </c>
      <c r="G52" s="81" t="e">
        <f ca="1">入数("I","10101010002000000136")</f>
        <v>#NAME?</v>
      </c>
      <c r="H52" s="31"/>
      <c r="I52" s="36"/>
      <c r="J52" s="80" t="e">
        <f ca="1">入数("H","10101010002000000191")</f>
        <v>#NAME?</v>
      </c>
      <c r="K52" s="79" t="e">
        <f ca="1">入数("I","10101010002000000191")</f>
        <v>#NAME?</v>
      </c>
      <c r="L52" s="80" t="e">
        <f ca="1">入数("H","10101010002000000242")</f>
        <v>#NAME?</v>
      </c>
      <c r="M52" s="71" t="e">
        <f ca="1">入数("I","10101010002000000242")</f>
        <v>#NAME?</v>
      </c>
      <c r="AC52" s="3"/>
      <c r="AD52" s="21"/>
      <c r="AE52" s="3"/>
    </row>
    <row r="53" spans="1:31" ht="11.85" customHeight="1">
      <c r="A53" s="133"/>
      <c r="B53" s="59" t="e">
        <f ca="1">単価("H","10101010002000000074")</f>
        <v>#NAME?</v>
      </c>
      <c r="C53" s="49" t="e">
        <f ca="1">単価("I@","10101010002000000074")</f>
        <v>#NAME?</v>
      </c>
      <c r="D53" s="48" t="e">
        <f ca="1">単価("H","10101010002000000107")</f>
        <v>#NAME?</v>
      </c>
      <c r="E53" s="49" t="e">
        <f ca="1">単価("I@","10101010002000000107")</f>
        <v>#NAME?</v>
      </c>
      <c r="F53" s="48" t="e">
        <f ca="1">単価("H","10101010002000000136")</f>
        <v>#NAME?</v>
      </c>
      <c r="G53" s="66" t="e">
        <f ca="1">単価("I@","10101010002000000136")</f>
        <v>#NAME?</v>
      </c>
      <c r="H53" s="17"/>
      <c r="I53" s="29"/>
      <c r="J53" s="48" t="e">
        <f ca="1">単価("H","10101010002000000191")</f>
        <v>#NAME?</v>
      </c>
      <c r="K53" s="49" t="e">
        <f ca="1">単価("I@","10101010002000000191")</f>
        <v>#NAME?</v>
      </c>
      <c r="L53" s="48" t="e">
        <f ca="1">単価("H","10101010002000000242")</f>
        <v>#NAME?</v>
      </c>
      <c r="M53" s="50" t="e">
        <f ca="1">単価("I@","10101010002000000242")</f>
        <v>#NAME?</v>
      </c>
      <c r="AC53" s="3"/>
      <c r="AD53" s="3"/>
      <c r="AE53" s="3"/>
    </row>
    <row r="54" spans="1:31" ht="11.85" customHeight="1">
      <c r="A54" s="128" t="s">
        <v>39</v>
      </c>
      <c r="B54" s="74" t="e">
        <f ca="1">入数("H","10101010002000000075")</f>
        <v>#NAME?</v>
      </c>
      <c r="C54" s="69" t="e">
        <f ca="1">入数("I","10101010002000000075")</f>
        <v>#NAME?</v>
      </c>
      <c r="D54" s="68" t="e">
        <f ca="1">入数("H","10101010002000000108")</f>
        <v>#NAME?</v>
      </c>
      <c r="E54" s="69" t="e">
        <f ca="1">入数("I","10101010002000000108")</f>
        <v>#NAME?</v>
      </c>
      <c r="F54" s="68" t="e">
        <f ca="1">入数("H","10101010002000000137")</f>
        <v>#NAME?</v>
      </c>
      <c r="G54" s="81" t="e">
        <f ca="1">入数("I","10101010002000000137")</f>
        <v>#NAME?</v>
      </c>
      <c r="H54" s="31"/>
      <c r="I54" s="36"/>
      <c r="J54" s="80" t="e">
        <f ca="1">入数("H","10101010002000000192")</f>
        <v>#NAME?</v>
      </c>
      <c r="K54" s="79" t="e">
        <f ca="1">入数("I","10101010002000000192")</f>
        <v>#NAME?</v>
      </c>
      <c r="L54" s="80" t="e">
        <f ca="1">入数("H","10101010002000000243")</f>
        <v>#NAME?</v>
      </c>
      <c r="M54" s="71" t="e">
        <f ca="1">入数("I","10101010002000000243")</f>
        <v>#NAME?</v>
      </c>
      <c r="AC54" s="3"/>
      <c r="AD54" s="3"/>
      <c r="AE54" s="3"/>
    </row>
    <row r="55" spans="1:31" ht="11.85" customHeight="1">
      <c r="A55" s="133"/>
      <c r="B55" s="59" t="e">
        <f ca="1">単価("H","10101010002000000075")</f>
        <v>#NAME?</v>
      </c>
      <c r="C55" s="49" t="e">
        <f ca="1">単価("I@","10101010002000000075")</f>
        <v>#NAME?</v>
      </c>
      <c r="D55" s="48" t="e">
        <f ca="1">単価("H","10101010002000000108")</f>
        <v>#NAME?</v>
      </c>
      <c r="E55" s="49" t="e">
        <f ca="1">単価("I@","10101010002000000108")</f>
        <v>#NAME?</v>
      </c>
      <c r="F55" s="48" t="e">
        <f ca="1">単価("H","10101010002000000137")</f>
        <v>#NAME?</v>
      </c>
      <c r="G55" s="66" t="e">
        <f ca="1">単価("I@","10101010002000000137")</f>
        <v>#NAME?</v>
      </c>
      <c r="H55" s="17"/>
      <c r="I55" s="29"/>
      <c r="J55" s="48" t="e">
        <f ca="1">単価("H","10101010002000000192")</f>
        <v>#NAME?</v>
      </c>
      <c r="K55" s="49" t="e">
        <f ca="1">単価("I@","10101010002000000192")</f>
        <v>#NAME?</v>
      </c>
      <c r="L55" s="48" t="e">
        <f ca="1">単価("H","10101010002000000243")</f>
        <v>#NAME?</v>
      </c>
      <c r="M55" s="50" t="e">
        <f ca="1">単価("I@","10101010002000000243")</f>
        <v>#NAME?</v>
      </c>
      <c r="AC55" s="3"/>
      <c r="AD55" s="3"/>
      <c r="AE55" s="3"/>
    </row>
    <row r="56" spans="1:31" ht="11.85" customHeight="1">
      <c r="A56" s="128" t="s">
        <v>40</v>
      </c>
      <c r="B56" s="74" t="e">
        <f ca="1">入数("H","10101010002000000076")</f>
        <v>#NAME?</v>
      </c>
      <c r="C56" s="69" t="e">
        <f ca="1">入数("I","10101010002000000076")</f>
        <v>#NAME?</v>
      </c>
      <c r="D56" s="68" t="e">
        <f ca="1">入数("H","10101010002000000109")</f>
        <v>#NAME?</v>
      </c>
      <c r="E56" s="69" t="e">
        <f ca="1">入数("I","10101010002000000109")</f>
        <v>#NAME?</v>
      </c>
      <c r="F56" s="68" t="e">
        <f ca="1">入数("H","10101010002000000138")</f>
        <v>#NAME?</v>
      </c>
      <c r="G56" s="81" t="e">
        <f ca="1">入数("I","10101010002000000138")</f>
        <v>#NAME?</v>
      </c>
      <c r="H56" s="31"/>
      <c r="I56" s="36"/>
      <c r="J56" s="80" t="e">
        <f ca="1">入数("H","10101010002000000193")</f>
        <v>#NAME?</v>
      </c>
      <c r="K56" s="79" t="e">
        <f ca="1">入数("I","10101010002000000193")</f>
        <v>#NAME?</v>
      </c>
      <c r="L56" s="80" t="e">
        <f ca="1">入数("H","10101010002000000244")</f>
        <v>#NAME?</v>
      </c>
      <c r="M56" s="71" t="e">
        <f ca="1">入数("I","10101010002000000244")</f>
        <v>#NAME?</v>
      </c>
      <c r="AC56" s="3"/>
      <c r="AD56" s="3"/>
      <c r="AE56" s="3"/>
    </row>
    <row r="57" spans="1:31" ht="11.85" customHeight="1">
      <c r="A57" s="133"/>
      <c r="B57" s="59" t="e">
        <f ca="1">単価("H","10101010002000000076")</f>
        <v>#NAME?</v>
      </c>
      <c r="C57" s="49" t="e">
        <f ca="1">単価("I@","10101010002000000076")</f>
        <v>#NAME?</v>
      </c>
      <c r="D57" s="48" t="e">
        <f ca="1">単価("H","10101010002000000109")</f>
        <v>#NAME?</v>
      </c>
      <c r="E57" s="49" t="e">
        <f ca="1">単価("I@","10101010002000000109")</f>
        <v>#NAME?</v>
      </c>
      <c r="F57" s="48" t="e">
        <f ca="1">単価("H","10101010002000000138")</f>
        <v>#NAME?</v>
      </c>
      <c r="G57" s="66" t="e">
        <f ca="1">単価("I@","10101010002000000138")</f>
        <v>#NAME?</v>
      </c>
      <c r="H57" s="17"/>
      <c r="I57" s="29"/>
      <c r="J57" s="48" t="e">
        <f ca="1">単価("H","10101010002000000193")</f>
        <v>#NAME?</v>
      </c>
      <c r="K57" s="49" t="e">
        <f ca="1">単価("I@","10101010002000000193")</f>
        <v>#NAME?</v>
      </c>
      <c r="L57" s="48" t="e">
        <f ca="1">単価("H","10101010002000000244")</f>
        <v>#NAME?</v>
      </c>
      <c r="M57" s="50" t="e">
        <f ca="1">単価("I@","10101010002000000244")</f>
        <v>#NAME?</v>
      </c>
      <c r="AC57" s="3"/>
      <c r="AD57" s="3"/>
      <c r="AE57" s="3"/>
    </row>
    <row r="58" spans="1:31" ht="11.85" customHeight="1">
      <c r="A58" s="128" t="s">
        <v>41</v>
      </c>
      <c r="B58" s="32"/>
      <c r="C58" s="34"/>
      <c r="D58" s="32"/>
      <c r="E58" s="34"/>
      <c r="F58" s="68" t="e">
        <f ca="1">入数("H","10101010002000000139")</f>
        <v>#NAME?</v>
      </c>
      <c r="G58" s="81" t="e">
        <f ca="1">入数("I","10101010002000000139")</f>
        <v>#NAME?</v>
      </c>
      <c r="H58" s="32"/>
      <c r="I58" s="98"/>
      <c r="J58" s="80" t="e">
        <f ca="1">入数("H","10101010002000000194")</f>
        <v>#NAME?</v>
      </c>
      <c r="K58" s="79" t="e">
        <f ca="1">入数("I","10101010002000000194")</f>
        <v>#NAME?</v>
      </c>
      <c r="L58" s="80" t="e">
        <f ca="1">入数("H","10101010002000000245")</f>
        <v>#NAME?</v>
      </c>
      <c r="M58" s="71" t="e">
        <f ca="1">入数("I","10101010002000000245")</f>
        <v>#NAME?</v>
      </c>
      <c r="AC58" s="3"/>
      <c r="AD58" s="3"/>
      <c r="AE58" s="3"/>
    </row>
    <row r="59" spans="1:31" ht="11.85" customHeight="1">
      <c r="A59" s="133"/>
      <c r="B59" s="18"/>
      <c r="C59" s="19"/>
      <c r="D59" s="18"/>
      <c r="E59" s="19"/>
      <c r="F59" s="48" t="e">
        <f ca="1">単価("H","10101010002000000139")</f>
        <v>#NAME?</v>
      </c>
      <c r="G59" s="66" t="e">
        <f ca="1">単価("I@","10101010002000000139")</f>
        <v>#NAME?</v>
      </c>
      <c r="H59" s="18"/>
      <c r="I59" s="99"/>
      <c r="J59" s="48" t="e">
        <f ca="1">単価("H","10101010002000000194")</f>
        <v>#NAME?</v>
      </c>
      <c r="K59" s="49" t="e">
        <f ca="1">単価("I@","10101010002000000194")</f>
        <v>#NAME?</v>
      </c>
      <c r="L59" s="48" t="e">
        <f ca="1">単価("H","10101010002000000245")</f>
        <v>#NAME?</v>
      </c>
      <c r="M59" s="50" t="e">
        <f ca="1">単価("I@","10101010002000000245")</f>
        <v>#NAME?</v>
      </c>
      <c r="AC59" s="3"/>
      <c r="AD59" s="3"/>
      <c r="AE59" s="3"/>
    </row>
    <row r="60" spans="1:31" ht="11.85" customHeight="1">
      <c r="A60" s="128" t="s">
        <v>42</v>
      </c>
      <c r="B60" s="32"/>
      <c r="C60" s="34"/>
      <c r="D60" s="32"/>
      <c r="E60" s="34"/>
      <c r="F60" s="31"/>
      <c r="G60" s="35"/>
      <c r="H60" s="32"/>
      <c r="I60" s="98"/>
      <c r="J60" s="80" t="e">
        <f ca="1">入数("H","10101010002000000195")</f>
        <v>#NAME?</v>
      </c>
      <c r="K60" s="79" t="e">
        <f ca="1">入数("I","10101010002000000195")</f>
        <v>#NAME?</v>
      </c>
      <c r="L60" s="80" t="e">
        <f ca="1">入数("H","10101010002000000246")</f>
        <v>#NAME?</v>
      </c>
      <c r="M60" s="71" t="e">
        <f ca="1">入数("I","10101010002000000246")</f>
        <v>#NAME?</v>
      </c>
      <c r="AC60" s="3"/>
      <c r="AD60" s="3"/>
      <c r="AE60" s="3"/>
    </row>
    <row r="61" spans="1:31" ht="11.85" customHeight="1">
      <c r="A61" s="129"/>
      <c r="B61" s="18"/>
      <c r="C61" s="19"/>
      <c r="D61" s="18"/>
      <c r="E61" s="19"/>
      <c r="F61" s="17"/>
      <c r="G61" s="16"/>
      <c r="H61" s="18"/>
      <c r="I61" s="99"/>
      <c r="J61" s="48" t="e">
        <f ca="1">単価("H","10101010002000000195")</f>
        <v>#NAME?</v>
      </c>
      <c r="K61" s="49" t="e">
        <f ca="1">単価("I@","10101010002000000195")</f>
        <v>#NAME?</v>
      </c>
      <c r="L61" s="48" t="e">
        <f ca="1">単価("H","10101010002000000246")</f>
        <v>#NAME?</v>
      </c>
      <c r="M61" s="50" t="e">
        <f ca="1">単価("I@","10101010002000000246")</f>
        <v>#NAME?</v>
      </c>
      <c r="AC61" s="3"/>
      <c r="AD61" s="3"/>
      <c r="AE61" s="3"/>
    </row>
    <row r="62" spans="1:31" ht="11.85" customHeight="1">
      <c r="A62" s="128" t="s">
        <v>43</v>
      </c>
      <c r="B62" s="32"/>
      <c r="C62" s="34"/>
      <c r="D62" s="32"/>
      <c r="E62" s="34"/>
      <c r="F62" s="68" t="e">
        <f ca="1">入数("H","10101010002000000140")</f>
        <v>#NAME?</v>
      </c>
      <c r="G62" s="81" t="e">
        <f ca="1">入数("I","10101010002000000140")</f>
        <v>#NAME?</v>
      </c>
      <c r="H62" s="32"/>
      <c r="I62" s="98"/>
      <c r="J62" s="80" t="e">
        <f ca="1">入数("H","10101010002000000196")</f>
        <v>#NAME?</v>
      </c>
      <c r="K62" s="79" t="e">
        <f ca="1">入数("I","10101010002000000196")</f>
        <v>#NAME?</v>
      </c>
      <c r="L62" s="80" t="e">
        <f ca="1">入数("H","10101010002000000247")</f>
        <v>#NAME?</v>
      </c>
      <c r="M62" s="71" t="e">
        <f ca="1">入数("I","10101010002000000247")</f>
        <v>#NAME?</v>
      </c>
      <c r="AC62" s="3"/>
      <c r="AD62" s="3"/>
      <c r="AE62" s="3"/>
    </row>
    <row r="63" spans="1:31" ht="11.85" customHeight="1">
      <c r="A63" s="129"/>
      <c r="B63" s="23"/>
      <c r="C63" s="22"/>
      <c r="D63" s="23"/>
      <c r="E63" s="22"/>
      <c r="F63" s="48" t="e">
        <f ca="1">単価("H","10101010002000000140")</f>
        <v>#NAME?</v>
      </c>
      <c r="G63" s="66" t="e">
        <f ca="1">単価("I@","10101010002000000140")</f>
        <v>#NAME?</v>
      </c>
      <c r="H63" s="18"/>
      <c r="I63" s="99"/>
      <c r="J63" s="48" t="e">
        <f ca="1">単価("H","10101010002000000196")</f>
        <v>#NAME?</v>
      </c>
      <c r="K63" s="49" t="e">
        <f ca="1">単価("I@","10101010002000000196")</f>
        <v>#NAME?</v>
      </c>
      <c r="L63" s="48" t="e">
        <f ca="1">単価("H","10101010002000000247")</f>
        <v>#NAME?</v>
      </c>
      <c r="M63" s="50" t="e">
        <f ca="1">単価("I@","10101010002000000247")</f>
        <v>#NAME?</v>
      </c>
      <c r="AC63" s="3"/>
      <c r="AD63" s="3"/>
      <c r="AE63" s="3"/>
    </row>
    <row r="64" spans="1:31" ht="11.85" customHeight="1">
      <c r="A64" s="128" t="s">
        <v>44</v>
      </c>
      <c r="B64" s="32"/>
      <c r="C64" s="34"/>
      <c r="D64" s="32"/>
      <c r="E64" s="34"/>
      <c r="F64" s="31"/>
      <c r="G64" s="35"/>
      <c r="H64" s="32"/>
      <c r="I64" s="98"/>
      <c r="J64" s="80" t="e">
        <f ca="1">入数("H","10101010002000000197")</f>
        <v>#NAME?</v>
      </c>
      <c r="K64" s="79" t="e">
        <f ca="1">入数("I","10101010002000000197")</f>
        <v>#NAME?</v>
      </c>
      <c r="L64" s="80" t="e">
        <f ca="1">入数("H","10101010002000000248")</f>
        <v>#NAME?</v>
      </c>
      <c r="M64" s="71" t="e">
        <f ca="1">入数("I","10101010002000000248")</f>
        <v>#NAME?</v>
      </c>
      <c r="AC64" s="3"/>
      <c r="AD64" s="3"/>
      <c r="AE64" s="3"/>
    </row>
    <row r="65" spans="1:31" ht="11.85" customHeight="1">
      <c r="A65" s="129"/>
      <c r="B65" s="23"/>
      <c r="C65" s="22"/>
      <c r="D65" s="23"/>
      <c r="E65" s="22"/>
      <c r="F65" s="60"/>
      <c r="G65" s="96"/>
      <c r="H65" s="23"/>
      <c r="I65" s="100"/>
      <c r="J65" s="48" t="e">
        <f ca="1">単価("H","10101010002000000197")</f>
        <v>#NAME?</v>
      </c>
      <c r="K65" s="49" t="e">
        <f ca="1">単価("I@","10101010002000000197")</f>
        <v>#NAME?</v>
      </c>
      <c r="L65" s="48" t="e">
        <f ca="1">単価("H","10101010002000000248")</f>
        <v>#NAME?</v>
      </c>
      <c r="M65" s="50" t="e">
        <f ca="1">単価("I@","10101010002000000248")</f>
        <v>#NAME?</v>
      </c>
      <c r="AC65" s="3"/>
      <c r="AD65" s="3"/>
      <c r="AE65" s="3"/>
    </row>
    <row r="66" spans="1:31" ht="11.85" customHeight="1">
      <c r="A66" s="128" t="s">
        <v>45</v>
      </c>
      <c r="B66" s="32"/>
      <c r="C66" s="34"/>
      <c r="D66" s="32"/>
      <c r="E66" s="34"/>
      <c r="F66" s="68" t="e">
        <f ca="1">入数("H","10101010002000000141")</f>
        <v>#NAME?</v>
      </c>
      <c r="G66" s="81" t="e">
        <f ca="1">入数("I","10101010002000000141")</f>
        <v>#NAME?</v>
      </c>
      <c r="H66" s="32"/>
      <c r="I66" s="98"/>
      <c r="J66" s="80" t="e">
        <f ca="1">入数("H","10101010002000000198")</f>
        <v>#NAME?</v>
      </c>
      <c r="K66" s="79" t="e">
        <f ca="1">入数("I","10101010002000000198")</f>
        <v>#NAME?</v>
      </c>
      <c r="L66" s="80" t="e">
        <f ca="1">入数("H","10101010002000000249")</f>
        <v>#NAME?</v>
      </c>
      <c r="M66" s="71" t="e">
        <f ca="1">入数("I","10101010002000000249")</f>
        <v>#NAME?</v>
      </c>
      <c r="AC66" s="3"/>
      <c r="AD66" s="3"/>
      <c r="AE66" s="3"/>
    </row>
    <row r="67" spans="1:31" ht="11.85" customHeight="1" thickBot="1">
      <c r="A67" s="135"/>
      <c r="B67" s="2"/>
      <c r="C67" s="4"/>
      <c r="D67" s="2"/>
      <c r="E67" s="4"/>
      <c r="F67" s="51" t="e">
        <f ca="1">単価("H","10101010002000000141")</f>
        <v>#NAME?</v>
      </c>
      <c r="G67" s="95" t="e">
        <f ca="1">単価("I@","10101010002000000141")</f>
        <v>#NAME?</v>
      </c>
      <c r="H67" s="2"/>
      <c r="I67" s="101"/>
      <c r="J67" s="51" t="e">
        <f ca="1">単価("H","10101010002000000198")</f>
        <v>#NAME?</v>
      </c>
      <c r="K67" s="52" t="e">
        <f ca="1">単価("I@","10101010002000000198")</f>
        <v>#NAME?</v>
      </c>
      <c r="L67" s="51" t="e">
        <f ca="1">単価("H","10101010002000000249")</f>
        <v>#NAME?</v>
      </c>
      <c r="M67" s="53" t="e">
        <f ca="1">単価("I@","10101010002000000249")</f>
        <v>#NAME?</v>
      </c>
      <c r="AC67" s="3"/>
      <c r="AD67" s="3"/>
      <c r="AE67" s="3"/>
    </row>
    <row r="68" spans="1:31" ht="13.5" customHeight="1">
      <c r="AC68" s="3"/>
      <c r="AD68" s="3"/>
      <c r="AE68" s="3"/>
    </row>
    <row r="69" spans="1:31" ht="13.5" customHeight="1">
      <c r="AC69" s="3"/>
      <c r="AD69" s="3"/>
      <c r="AE69" s="3"/>
    </row>
    <row r="70" spans="1:31" ht="13.5" customHeight="1">
      <c r="AC70" s="3"/>
      <c r="AD70" s="3"/>
      <c r="AE70" s="3"/>
    </row>
    <row r="71" spans="1:31" ht="13.5" customHeight="1">
      <c r="AC71" s="3"/>
      <c r="AD71" s="3"/>
      <c r="AE71" s="3"/>
    </row>
    <row r="72" spans="1:31" ht="13.5" customHeight="1">
      <c r="AC72" s="3"/>
      <c r="AD72" s="3"/>
      <c r="AE72" s="3"/>
    </row>
    <row r="73" spans="1:31" ht="13.5" customHeight="1">
      <c r="AC73" s="3"/>
      <c r="AD73" s="3"/>
      <c r="AE73" s="3"/>
    </row>
    <row r="74" spans="1:31" ht="13.5" customHeight="1">
      <c r="AC74" s="3"/>
      <c r="AD74" s="3"/>
      <c r="AE74" s="3"/>
    </row>
    <row r="75" spans="1:31" ht="13.5" customHeight="1">
      <c r="AC75" s="3"/>
      <c r="AD75" s="3"/>
      <c r="AE75" s="3"/>
    </row>
    <row r="76" spans="1:31" ht="13.5" customHeight="1">
      <c r="AC76" s="3"/>
      <c r="AD76" s="3"/>
      <c r="AE76" s="3"/>
    </row>
    <row r="77" spans="1:31" ht="13.5" customHeight="1">
      <c r="AC77" s="3"/>
      <c r="AD77" s="3"/>
      <c r="AE77" s="3"/>
    </row>
    <row r="78" spans="1:31" ht="13.5" customHeight="1">
      <c r="AC78" s="3"/>
      <c r="AD78" s="3"/>
      <c r="AE78" s="3"/>
    </row>
    <row r="79" spans="1:31" ht="13.5" customHeight="1">
      <c r="AC79" s="3"/>
      <c r="AD79" s="3"/>
      <c r="AE79" s="3"/>
    </row>
    <row r="80" spans="1:31" ht="13.5" customHeight="1">
      <c r="AC80" s="3"/>
      <c r="AD80" s="3"/>
      <c r="AE80" s="3"/>
    </row>
    <row r="81" spans="29:31" ht="13.5" customHeight="1">
      <c r="AC81" s="3"/>
      <c r="AD81" s="3"/>
      <c r="AE81" s="3"/>
    </row>
    <row r="82" spans="29:31" ht="13.5" customHeight="1">
      <c r="AC82" s="3"/>
      <c r="AD82" s="3"/>
      <c r="AE82" s="3"/>
    </row>
    <row r="83" spans="29:31" ht="13.5" customHeight="1">
      <c r="AC83" s="3"/>
      <c r="AD83" s="3"/>
      <c r="AE83" s="3"/>
    </row>
    <row r="84" spans="29:31" ht="13.5" customHeight="1">
      <c r="AC84" s="3"/>
      <c r="AD84" s="3"/>
      <c r="AE84" s="3"/>
    </row>
    <row r="85" spans="29:31" ht="13.5" customHeight="1">
      <c r="AC85" s="3"/>
      <c r="AD85" s="3"/>
      <c r="AE85" s="3"/>
    </row>
    <row r="86" spans="29:31" ht="13.5" customHeight="1">
      <c r="AC86" s="3"/>
      <c r="AD86" s="3"/>
      <c r="AE86" s="3"/>
    </row>
    <row r="87" spans="29:31" ht="13.5" customHeight="1">
      <c r="AC87" s="3"/>
      <c r="AD87" s="3"/>
      <c r="AE87" s="3"/>
    </row>
    <row r="88" spans="29:31" ht="13.5" customHeight="1">
      <c r="AC88" s="3"/>
      <c r="AD88" s="3"/>
      <c r="AE88" s="3"/>
    </row>
    <row r="89" spans="29:31" ht="13.5" customHeight="1">
      <c r="AC89" s="3"/>
      <c r="AD89" s="3"/>
      <c r="AE89" s="3"/>
    </row>
    <row r="90" spans="29:31" ht="13.5" customHeight="1">
      <c r="AC90" s="3"/>
      <c r="AD90" s="3"/>
      <c r="AE90" s="3"/>
    </row>
    <row r="91" spans="29:31" ht="13.5" customHeight="1">
      <c r="AC91" s="3"/>
      <c r="AD91" s="3"/>
      <c r="AE91" s="3"/>
    </row>
    <row r="92" spans="29:31" ht="13.5" customHeight="1">
      <c r="AC92" s="3"/>
      <c r="AD92" s="3"/>
      <c r="AE92" s="3"/>
    </row>
    <row r="93" spans="29:31" ht="13.5" customHeight="1">
      <c r="AC93" s="3"/>
      <c r="AD93" s="3"/>
      <c r="AE93" s="3"/>
    </row>
    <row r="94" spans="29:31" ht="13.5" customHeight="1">
      <c r="AC94" s="3"/>
      <c r="AD94" s="3"/>
      <c r="AE94" s="3"/>
    </row>
  </sheetData>
  <mergeCells count="60">
    <mergeCell ref="A62:A63"/>
    <mergeCell ref="A64:A65"/>
    <mergeCell ref="A66:A67"/>
    <mergeCell ref="A52:A53"/>
    <mergeCell ref="A54:A55"/>
    <mergeCell ref="A56:A57"/>
    <mergeCell ref="A58:A59"/>
    <mergeCell ref="A60:A61"/>
    <mergeCell ref="H18:I18"/>
    <mergeCell ref="J18:K18"/>
    <mergeCell ref="L18:M18"/>
    <mergeCell ref="A48:A49"/>
    <mergeCell ref="A50:A51"/>
    <mergeCell ref="A20:A21"/>
    <mergeCell ref="A22:A23"/>
    <mergeCell ref="A46:A47"/>
    <mergeCell ref="A44:A45"/>
    <mergeCell ref="D18:E18"/>
    <mergeCell ref="A40:A41"/>
    <mergeCell ref="A42:A43"/>
    <mergeCell ref="A34:A35"/>
    <mergeCell ref="A36:A37"/>
    <mergeCell ref="A38:A39"/>
    <mergeCell ref="B15:C15"/>
    <mergeCell ref="B16:C16"/>
    <mergeCell ref="B17:C17"/>
    <mergeCell ref="B18:C18"/>
    <mergeCell ref="A32:A33"/>
    <mergeCell ref="A24:A25"/>
    <mergeCell ref="A26:A27"/>
    <mergeCell ref="A28:A29"/>
    <mergeCell ref="A30:A31"/>
    <mergeCell ref="A2:M2"/>
    <mergeCell ref="D14:E14"/>
    <mergeCell ref="F14:G14"/>
    <mergeCell ref="B14:C14"/>
    <mergeCell ref="K12:M12"/>
    <mergeCell ref="J3:M3"/>
    <mergeCell ref="A4:C4"/>
    <mergeCell ref="H15:I15"/>
    <mergeCell ref="H16:I16"/>
    <mergeCell ref="K4:M4"/>
    <mergeCell ref="K6:M6"/>
    <mergeCell ref="D17:E17"/>
    <mergeCell ref="H14:I14"/>
    <mergeCell ref="J14:K14"/>
    <mergeCell ref="L14:M14"/>
    <mergeCell ref="J15:K15"/>
    <mergeCell ref="L15:M15"/>
    <mergeCell ref="J16:K16"/>
    <mergeCell ref="L16:M16"/>
    <mergeCell ref="H17:I17"/>
    <mergeCell ref="J17:K17"/>
    <mergeCell ref="L17:M17"/>
    <mergeCell ref="F15:G15"/>
    <mergeCell ref="F16:G16"/>
    <mergeCell ref="F17:G17"/>
    <mergeCell ref="F18:G18"/>
    <mergeCell ref="D15:E15"/>
    <mergeCell ref="D16:E16"/>
  </mergeCells>
  <phoneticPr fontId="1"/>
  <printOptions horizontalCentered="1"/>
  <pageMargins left="0" right="0" top="0.59055118110236227" bottom="0" header="0" footer="0"/>
  <pageSetup paperSize="9" orientation="portrait" horizontalDpi="4294967293" r:id="rId1"/>
  <headerFooter alignWithMargins="0">
    <oddFooter>&amp;L&amp;9P1A011&amp;R&amp;9&amp;D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61"/>
  <sheetViews>
    <sheetView showZeros="0" tabSelected="1" workbookViewId="0">
      <selection activeCell="I4" sqref="I4:K4"/>
    </sheetView>
  </sheetViews>
  <sheetFormatPr defaultRowHeight="13.5" customHeight="1"/>
  <cols>
    <col min="1" max="1" width="8.625" style="12" customWidth="1"/>
    <col min="2" max="9" width="7.625" style="12" customWidth="1"/>
    <col min="10" max="13" width="6.625" style="12" customWidth="1"/>
    <col min="14" max="16384" width="9" style="12"/>
  </cols>
  <sheetData>
    <row r="1" spans="1:13" ht="13.5" customHeight="1">
      <c r="A1" s="111"/>
    </row>
    <row r="2" spans="1:13" ht="18.75">
      <c r="A2" s="122" t="e">
        <f ca="1">タイトル()</f>
        <v>#NAME?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07"/>
      <c r="M2" s="107"/>
    </row>
    <row r="3" spans="1:13" ht="13.5" customHeight="1">
      <c r="A3" s="38"/>
      <c r="B3" s="38"/>
      <c r="C3" s="38"/>
      <c r="D3" s="38"/>
      <c r="E3" s="38"/>
      <c r="F3" s="38"/>
      <c r="G3" s="38"/>
      <c r="H3" s="126" t="e">
        <f ca="1">コメント()</f>
        <v>#NAME?</v>
      </c>
      <c r="I3" s="126"/>
      <c r="J3" s="86"/>
      <c r="L3" s="85"/>
      <c r="M3" s="85"/>
    </row>
    <row r="4" spans="1:13" ht="27" customHeight="1">
      <c r="A4" s="127" t="e">
        <f ca="1">得意先()</f>
        <v>#NAME?</v>
      </c>
      <c r="B4" s="127"/>
      <c r="C4" s="127"/>
      <c r="D4" s="9" t="s">
        <v>14</v>
      </c>
      <c r="E4" s="8"/>
      <c r="F4" s="8"/>
      <c r="G4" s="8"/>
      <c r="H4" s="30" t="s">
        <v>0</v>
      </c>
      <c r="I4" s="143" t="e">
        <f ca="1">実施日()</f>
        <v>#NAME?</v>
      </c>
      <c r="J4" s="143"/>
      <c r="K4" s="143"/>
      <c r="L4" s="85"/>
      <c r="M4" s="85"/>
    </row>
    <row r="5" spans="1:13" ht="13.5" customHeight="1">
      <c r="A5" s="10"/>
      <c r="B5" s="10"/>
      <c r="C5" s="10"/>
      <c r="D5" s="10"/>
      <c r="E5" s="10"/>
      <c r="F5" s="10"/>
      <c r="G5" s="10"/>
      <c r="H5" s="8"/>
      <c r="I5" s="8"/>
      <c r="J5" s="8"/>
      <c r="K5" s="8"/>
      <c r="L5" s="8"/>
      <c r="M5" s="8"/>
    </row>
    <row r="6" spans="1:13" ht="13.5" customHeight="1">
      <c r="A6" s="1"/>
      <c r="B6" s="11"/>
      <c r="D6" s="1"/>
      <c r="E6" s="1"/>
      <c r="F6" s="1"/>
      <c r="G6" s="1"/>
      <c r="H6" s="117" t="s">
        <v>5</v>
      </c>
      <c r="I6" s="117"/>
      <c r="J6" s="117"/>
    </row>
    <row r="7" spans="1:13" ht="13.5" customHeight="1">
      <c r="A7" s="1"/>
      <c r="B7" s="1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3.5" customHeight="1">
      <c r="A8" s="1"/>
      <c r="B8" s="1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3.5" customHeight="1">
      <c r="A9" s="1"/>
      <c r="B9" s="1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3.5" customHeight="1">
      <c r="A10" s="1"/>
      <c r="B10" s="1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3.5" customHeight="1">
      <c r="A11" s="1"/>
      <c r="B11" s="1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8" customHeight="1">
      <c r="A12" s="6" t="s">
        <v>18</v>
      </c>
      <c r="C12" s="5"/>
      <c r="D12" s="5"/>
      <c r="E12" s="5"/>
      <c r="F12" s="5"/>
      <c r="H12" s="1"/>
      <c r="I12" s="1"/>
    </row>
    <row r="13" spans="1:13" ht="13.5" customHeight="1">
      <c r="A13" s="6" t="s">
        <v>19</v>
      </c>
      <c r="C13" s="5"/>
      <c r="D13" s="5"/>
      <c r="E13" s="5"/>
      <c r="F13" s="5"/>
      <c r="G13" s="5"/>
      <c r="H13" s="1"/>
      <c r="I13" s="1"/>
      <c r="J13" s="1"/>
      <c r="L13" s="1"/>
      <c r="M13" s="1"/>
    </row>
    <row r="14" spans="1:13" ht="13.5" customHeight="1">
      <c r="B14" s="6" t="s">
        <v>89</v>
      </c>
      <c r="D14" s="5"/>
      <c r="E14" s="5"/>
      <c r="F14" s="5"/>
      <c r="G14" s="5"/>
      <c r="H14" s="1" t="s">
        <v>85</v>
      </c>
      <c r="I14" s="124" t="e">
        <f ca="1">改正日()</f>
        <v>#NAME?</v>
      </c>
      <c r="J14" s="140"/>
      <c r="K14" s="140"/>
      <c r="L14" s="108"/>
      <c r="M14" s="108"/>
    </row>
    <row r="15" spans="1:13" ht="13.5" customHeight="1" thickBo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6.5" customHeight="1">
      <c r="A16" s="13"/>
      <c r="B16" s="118" t="s">
        <v>49</v>
      </c>
      <c r="C16" s="119"/>
      <c r="D16" s="118" t="s">
        <v>50</v>
      </c>
      <c r="E16" s="123"/>
      <c r="F16" s="118" t="s">
        <v>65</v>
      </c>
      <c r="G16" s="119"/>
      <c r="H16" s="118" t="s">
        <v>66</v>
      </c>
      <c r="I16" s="120"/>
    </row>
    <row r="17" spans="1:9" ht="13.5" customHeight="1">
      <c r="A17" s="14" t="s">
        <v>86</v>
      </c>
      <c r="B17" s="113" t="s">
        <v>52</v>
      </c>
      <c r="C17" s="116"/>
      <c r="D17" s="113" t="s">
        <v>53</v>
      </c>
      <c r="E17" s="114"/>
      <c r="F17" s="113" t="s">
        <v>67</v>
      </c>
      <c r="G17" s="116"/>
      <c r="H17" s="113" t="s">
        <v>68</v>
      </c>
      <c r="I17" s="121"/>
    </row>
    <row r="18" spans="1:9" ht="13.5" customHeight="1">
      <c r="A18" s="14" t="s">
        <v>54</v>
      </c>
      <c r="B18" s="113" t="s">
        <v>58</v>
      </c>
      <c r="C18" s="116"/>
      <c r="D18" s="113" t="s">
        <v>59</v>
      </c>
      <c r="E18" s="114"/>
      <c r="F18" s="113" t="s">
        <v>70</v>
      </c>
      <c r="G18" s="116"/>
      <c r="H18" s="113" t="s">
        <v>71</v>
      </c>
      <c r="I18" s="121"/>
    </row>
    <row r="19" spans="1:9" ht="13.5" customHeight="1">
      <c r="A19" s="14" t="s">
        <v>60</v>
      </c>
      <c r="B19" s="113" t="s">
        <v>61</v>
      </c>
      <c r="C19" s="116"/>
      <c r="D19" s="115">
        <v>41.6</v>
      </c>
      <c r="E19" s="114"/>
      <c r="F19" s="115">
        <v>53.1</v>
      </c>
      <c r="G19" s="116"/>
      <c r="H19" s="115">
        <v>63.5</v>
      </c>
      <c r="I19" s="121"/>
    </row>
    <row r="20" spans="1:9" ht="13.5" customHeight="1">
      <c r="A20" s="14" t="s">
        <v>6</v>
      </c>
      <c r="B20" s="113" t="s">
        <v>63</v>
      </c>
      <c r="C20" s="116"/>
      <c r="D20" s="130" t="s">
        <v>64</v>
      </c>
      <c r="E20" s="136"/>
      <c r="F20" s="113" t="s">
        <v>73</v>
      </c>
      <c r="G20" s="138"/>
      <c r="H20" s="130" t="s">
        <v>74</v>
      </c>
      <c r="I20" s="139"/>
    </row>
    <row r="21" spans="1:9" ht="13.5" customHeight="1" thickBot="1">
      <c r="A21" s="15"/>
      <c r="B21" s="44" t="e">
        <f ca="1">IF($A$2="【売原価表】","原価",IF($A$2="【建値表】","建値","ケース"))</f>
        <v>#NAME?</v>
      </c>
      <c r="C21" s="45" t="e">
        <f ca="1">IF($A$2="【売原価表】","情報",IF($A$2="【建値表】","","小箱"))</f>
        <v>#NAME?</v>
      </c>
      <c r="D21" s="44" t="e">
        <f ca="1">IF($A$2="【売原価表】","原価",IF($A$2="【建値表】","建値","ケース"))</f>
        <v>#NAME?</v>
      </c>
      <c r="E21" s="45" t="e">
        <f ca="1">IF($A$2="【売原価表】","情報",IF($A$2="【建値表】","","小箱"))</f>
        <v>#NAME?</v>
      </c>
      <c r="F21" s="97" t="e">
        <f ca="1">IF($A$2="【売原価表】","原価",IF($A$2="【建値表】","建値","ケース"))</f>
        <v>#NAME?</v>
      </c>
      <c r="G21" s="41" t="e">
        <f ca="1">IF($A$2="【売原価表】","情報",IF($A$2="【建値表】","","小箱"))</f>
        <v>#NAME?</v>
      </c>
      <c r="H21" s="42" t="e">
        <f ca="1">IF($A$2="【売原価表】","原価",IF($A$2="【建値表】","建値","ケース"))</f>
        <v>#NAME?</v>
      </c>
      <c r="I21" s="47" t="e">
        <f ca="1">IF($A$2="【売原価表】","情報",IF($A$2="【建値表】","","小箱"))</f>
        <v>#NAME?</v>
      </c>
    </row>
    <row r="22" spans="1:9" ht="13.5" customHeight="1">
      <c r="A22" s="128" t="s">
        <v>8</v>
      </c>
      <c r="B22" s="68" t="e">
        <f ca="1">入数("H","10101010002000000266")</f>
        <v>#NAME?</v>
      </c>
      <c r="C22" s="81" t="e">
        <f ca="1">入数("I","10101010002000000266")</f>
        <v>#NAME?</v>
      </c>
      <c r="D22" s="73"/>
      <c r="E22" s="75"/>
      <c r="F22" s="76"/>
      <c r="G22" s="77"/>
      <c r="H22" s="32"/>
      <c r="I22" s="37"/>
    </row>
    <row r="23" spans="1:9" ht="13.5" customHeight="1">
      <c r="A23" s="129"/>
      <c r="B23" s="48" t="e">
        <f ca="1">単価("H","10101010002000000266")</f>
        <v>#NAME?</v>
      </c>
      <c r="C23" s="66" t="e">
        <f ca="1">単価("I@","10101010002000000266")</f>
        <v>#NAME?</v>
      </c>
      <c r="D23" s="59"/>
      <c r="E23" s="66"/>
      <c r="F23" s="48"/>
      <c r="G23" s="49"/>
      <c r="H23" s="18"/>
      <c r="I23" s="20"/>
    </row>
    <row r="24" spans="1:9" ht="13.5" customHeight="1">
      <c r="A24" s="128" t="s">
        <v>9</v>
      </c>
      <c r="B24" s="80" t="e">
        <f ca="1">入数("H","10101010002000000267")</f>
        <v>#NAME?</v>
      </c>
      <c r="C24" s="82" t="e">
        <f ca="1">入数("I","10101010002000000267")</f>
        <v>#NAME?</v>
      </c>
      <c r="D24" s="102"/>
      <c r="E24" s="82"/>
      <c r="F24" s="80"/>
      <c r="G24" s="79"/>
      <c r="H24" s="32"/>
      <c r="I24" s="33"/>
    </row>
    <row r="25" spans="1:9" ht="13.5" customHeight="1">
      <c r="A25" s="129"/>
      <c r="B25" s="48" t="e">
        <f ca="1">単価("H","10101010002000000267")</f>
        <v>#NAME?</v>
      </c>
      <c r="C25" s="66" t="e">
        <f ca="1">単価("I@","10101010002000000267")</f>
        <v>#NAME?</v>
      </c>
      <c r="D25" s="103"/>
      <c r="E25" s="105"/>
      <c r="F25" s="48"/>
      <c r="G25" s="49"/>
      <c r="H25" s="18"/>
      <c r="I25" s="20"/>
    </row>
    <row r="26" spans="1:9" ht="13.5" customHeight="1">
      <c r="A26" s="128" t="s">
        <v>10</v>
      </c>
      <c r="B26" s="80" t="e">
        <f ca="1">入数("H","10101010002000000268")</f>
        <v>#NAME?</v>
      </c>
      <c r="C26" s="79" t="e">
        <f ca="1">入数("I","10101010002000000268")</f>
        <v>#NAME?</v>
      </c>
      <c r="D26" s="68" t="e">
        <f ca="1">入数("H","10101010002000000298")</f>
        <v>#NAME?</v>
      </c>
      <c r="E26" s="81" t="e">
        <f ca="1">入数("I","10101010002000000298")</f>
        <v>#NAME?</v>
      </c>
      <c r="F26" s="80"/>
      <c r="G26" s="79"/>
      <c r="H26" s="80"/>
      <c r="I26" s="71"/>
    </row>
    <row r="27" spans="1:9" ht="13.5" customHeight="1">
      <c r="A27" s="129"/>
      <c r="B27" s="48" t="e">
        <f ca="1">単価("H","10101010002000000268")</f>
        <v>#NAME?</v>
      </c>
      <c r="C27" s="49" t="e">
        <f ca="1">単価("I@","10101010002000000268")</f>
        <v>#NAME?</v>
      </c>
      <c r="D27" s="48" t="e">
        <f ca="1">単価("H","10101010002000000298")</f>
        <v>#NAME?</v>
      </c>
      <c r="E27" s="66" t="e">
        <f ca="1">単価("I@","10101010002000000298")</f>
        <v>#NAME?</v>
      </c>
      <c r="F27" s="48"/>
      <c r="G27" s="49"/>
      <c r="H27" s="48"/>
      <c r="I27" s="50"/>
    </row>
    <row r="28" spans="1:9" ht="13.5" customHeight="1">
      <c r="A28" s="128" t="s">
        <v>11</v>
      </c>
      <c r="B28" s="80" t="e">
        <f ca="1">入数("H","10101010002000000269")</f>
        <v>#NAME?</v>
      </c>
      <c r="C28" s="79" t="e">
        <f ca="1">入数("I","10101010002000000269")</f>
        <v>#NAME?</v>
      </c>
      <c r="D28" s="80" t="e">
        <f ca="1">入数("H","10101010002000000299")</f>
        <v>#NAME?</v>
      </c>
      <c r="E28" s="82" t="e">
        <f ca="1">入数("I","10101010002000000299")</f>
        <v>#NAME?</v>
      </c>
      <c r="F28" s="80"/>
      <c r="G28" s="79"/>
      <c r="H28" s="65"/>
      <c r="I28" s="58"/>
    </row>
    <row r="29" spans="1:9" ht="13.5" customHeight="1">
      <c r="A29" s="129"/>
      <c r="B29" s="48" t="e">
        <f ca="1">単価("H","10101010002000000269")</f>
        <v>#NAME?</v>
      </c>
      <c r="C29" s="49" t="e">
        <f ca="1">単価("I@","10101010002000000269")</f>
        <v>#NAME?</v>
      </c>
      <c r="D29" s="48" t="e">
        <f ca="1">単価("H","10101010002000000299")</f>
        <v>#NAME?</v>
      </c>
      <c r="E29" s="66" t="e">
        <f ca="1">単価("I@","10101010002000000299")</f>
        <v>#NAME?</v>
      </c>
      <c r="F29" s="93"/>
      <c r="G29" s="91"/>
      <c r="H29" s="48"/>
      <c r="I29" s="50"/>
    </row>
    <row r="30" spans="1:9" ht="13.5" customHeight="1">
      <c r="A30" s="128" t="s">
        <v>12</v>
      </c>
      <c r="B30" s="80" t="e">
        <f ca="1">入数("H","10101010002000000270")</f>
        <v>#NAME?</v>
      </c>
      <c r="C30" s="79" t="e">
        <f ca="1">入数("I","10101010002000000270")</f>
        <v>#NAME?</v>
      </c>
      <c r="D30" s="80" t="e">
        <f ca="1">入数("H","10101010002000000300")</f>
        <v>#NAME?</v>
      </c>
      <c r="E30" s="82" t="e">
        <f ca="1">入数("I","10101010002000000300")</f>
        <v>#NAME?</v>
      </c>
      <c r="F30" s="80" t="e">
        <f ca="1">入数("H","10101010002000000332")</f>
        <v>#NAME?</v>
      </c>
      <c r="G30" s="79" t="e">
        <f ca="1">入数("I","10101010002000000332")</f>
        <v>#NAME?</v>
      </c>
      <c r="H30" s="88"/>
      <c r="I30" s="71"/>
    </row>
    <row r="31" spans="1:9" ht="13.5" customHeight="1">
      <c r="A31" s="129"/>
      <c r="B31" s="48" t="e">
        <f ca="1">単価("H","10101010002000000270")</f>
        <v>#NAME?</v>
      </c>
      <c r="C31" s="49" t="e">
        <f ca="1">単価("I@","10101010002000000270")</f>
        <v>#NAME?</v>
      </c>
      <c r="D31" s="48" t="e">
        <f ca="1">単価("H","10101010002000000300")</f>
        <v>#NAME?</v>
      </c>
      <c r="E31" s="66" t="e">
        <f ca="1">単価("I@","10101010002000000300")</f>
        <v>#NAME?</v>
      </c>
      <c r="F31" s="48" t="e">
        <f ca="1">単価("H","10101010002000000332")</f>
        <v>#NAME?</v>
      </c>
      <c r="G31" s="49" t="e">
        <f ca="1">単価("I@","10101010002000000332")</f>
        <v>#NAME?</v>
      </c>
      <c r="H31" s="89"/>
      <c r="I31" s="50"/>
    </row>
    <row r="32" spans="1:9" ht="13.5" customHeight="1">
      <c r="A32" s="128" t="s">
        <v>15</v>
      </c>
      <c r="B32" s="80" t="e">
        <f ca="1">入数("H","10101010002000000271")</f>
        <v>#NAME?</v>
      </c>
      <c r="C32" s="79" t="e">
        <f ca="1">入数("I","10101010002000000271")</f>
        <v>#NAME?</v>
      </c>
      <c r="D32" s="80" t="e">
        <f ca="1">入数("H","10101010002000000301")</f>
        <v>#NAME?</v>
      </c>
      <c r="E32" s="82" t="e">
        <f ca="1">入数("I","10101010002000000301")</f>
        <v>#NAME?</v>
      </c>
      <c r="F32" s="80" t="e">
        <f ca="1">入数("H","10101010002000000333")</f>
        <v>#NAME?</v>
      </c>
      <c r="G32" s="79" t="e">
        <f ca="1">入数("I","10101010002000000333")</f>
        <v>#NAME?</v>
      </c>
      <c r="H32" s="106"/>
      <c r="I32" s="58"/>
    </row>
    <row r="33" spans="1:9" ht="13.5" customHeight="1">
      <c r="A33" s="129"/>
      <c r="B33" s="48" t="e">
        <f ca="1">単価("H","10101010002000000271")</f>
        <v>#NAME?</v>
      </c>
      <c r="C33" s="49" t="e">
        <f ca="1">単価("I@","10101010002000000271")</f>
        <v>#NAME?</v>
      </c>
      <c r="D33" s="48" t="e">
        <f ca="1">単価("H","10101010002000000301")</f>
        <v>#NAME?</v>
      </c>
      <c r="E33" s="66" t="e">
        <f ca="1">単価("I@","10101010002000000301")</f>
        <v>#NAME?</v>
      </c>
      <c r="F33" s="48" t="e">
        <f ca="1">単価("H","10101010002000000333")</f>
        <v>#NAME?</v>
      </c>
      <c r="G33" s="49" t="e">
        <f ca="1">単価("I@","10101010002000000333")</f>
        <v>#NAME?</v>
      </c>
      <c r="H33" s="89"/>
      <c r="I33" s="50"/>
    </row>
    <row r="34" spans="1:9" ht="13.5" customHeight="1">
      <c r="A34" s="128" t="s">
        <v>13</v>
      </c>
      <c r="B34" s="80" t="e">
        <f ca="1">入数("H","10101010002000000272")</f>
        <v>#NAME?</v>
      </c>
      <c r="C34" s="79" t="e">
        <f ca="1">入数("I","10101010002000000272")</f>
        <v>#NAME?</v>
      </c>
      <c r="D34" s="80" t="e">
        <f ca="1">入数("H","10101010002000000302")</f>
        <v>#NAME?</v>
      </c>
      <c r="E34" s="82" t="e">
        <f ca="1">入数("I","10101010002000000302")</f>
        <v>#NAME?</v>
      </c>
      <c r="F34" s="80" t="e">
        <f ca="1">入数("H","10101010002000000334")</f>
        <v>#NAME?</v>
      </c>
      <c r="G34" s="79" t="e">
        <f ca="1">入数("I","10101010002000000334")</f>
        <v>#NAME?</v>
      </c>
      <c r="H34" s="88" t="e">
        <f ca="1">入数("H","10101010002000000366")</f>
        <v>#NAME?</v>
      </c>
      <c r="I34" s="71" t="e">
        <f ca="1">入数("I","10101010002000000366")</f>
        <v>#NAME?</v>
      </c>
    </row>
    <row r="35" spans="1:9" ht="13.5" customHeight="1">
      <c r="A35" s="129"/>
      <c r="B35" s="48" t="e">
        <f ca="1">単価("H","10101010002000000272")</f>
        <v>#NAME?</v>
      </c>
      <c r="C35" s="49" t="e">
        <f ca="1">単価("I@","10101010002000000272")</f>
        <v>#NAME?</v>
      </c>
      <c r="D35" s="48" t="e">
        <f ca="1">単価("H","10101010002000000302")</f>
        <v>#NAME?</v>
      </c>
      <c r="E35" s="66" t="e">
        <f ca="1">単価("I@","10101010002000000302")</f>
        <v>#NAME?</v>
      </c>
      <c r="F35" s="48" t="e">
        <f ca="1">単価("H","10101010002000000334")</f>
        <v>#NAME?</v>
      </c>
      <c r="G35" s="49" t="e">
        <f ca="1">単価("I@","10101010002000000334")</f>
        <v>#NAME?</v>
      </c>
      <c r="H35" s="92" t="e">
        <f ca="1">単価("H","10101010002000000366")</f>
        <v>#NAME?</v>
      </c>
      <c r="I35" s="90" t="e">
        <f ca="1">単価("I@","10101010002000000366")</f>
        <v>#NAME?</v>
      </c>
    </row>
    <row r="36" spans="1:9" ht="13.5" customHeight="1">
      <c r="A36" s="128" t="s">
        <v>16</v>
      </c>
      <c r="B36" s="80" t="e">
        <f ca="1">入数("H","10101010002000000273")</f>
        <v>#NAME?</v>
      </c>
      <c r="C36" s="79" t="e">
        <f ca="1">入数("I","10101010002000000273")</f>
        <v>#NAME?</v>
      </c>
      <c r="D36" s="80" t="e">
        <f ca="1">入数("H","10101010002000000303")</f>
        <v>#NAME?</v>
      </c>
      <c r="E36" s="82" t="e">
        <f ca="1">入数("I","10101010002000000303")</f>
        <v>#NAME?</v>
      </c>
      <c r="F36" s="80"/>
      <c r="G36" s="79"/>
      <c r="H36" s="80"/>
      <c r="I36" s="71"/>
    </row>
    <row r="37" spans="1:9" ht="13.5" customHeight="1">
      <c r="A37" s="129"/>
      <c r="B37" s="48" t="e">
        <f ca="1">単価("H","10101010002000000273")</f>
        <v>#NAME?</v>
      </c>
      <c r="C37" s="49" t="e">
        <f ca="1">単価("I@","10101010002000000273")</f>
        <v>#NAME?</v>
      </c>
      <c r="D37" s="48" t="e">
        <f ca="1">単価("H","10101010002000000303")</f>
        <v>#NAME?</v>
      </c>
      <c r="E37" s="66" t="e">
        <f ca="1">単価("I@","10101010002000000303")</f>
        <v>#NAME?</v>
      </c>
      <c r="F37" s="48"/>
      <c r="G37" s="49"/>
      <c r="H37" s="48"/>
      <c r="I37" s="50"/>
    </row>
    <row r="38" spans="1:9" ht="13.5" customHeight="1">
      <c r="A38" s="128" t="s">
        <v>17</v>
      </c>
      <c r="B38" s="80" t="e">
        <f ca="1">入数("H","10101010002000000274")</f>
        <v>#NAME?</v>
      </c>
      <c r="C38" s="79" t="e">
        <f ca="1">入数("I","10101010002000000274")</f>
        <v>#NAME?</v>
      </c>
      <c r="D38" s="80" t="e">
        <f ca="1">入数("H","10101010002000000304")</f>
        <v>#NAME?</v>
      </c>
      <c r="E38" s="82" t="e">
        <f ca="1">入数("I","10101010002000000304")</f>
        <v>#NAME?</v>
      </c>
      <c r="F38" s="80" t="e">
        <f ca="1">入数("H","10101010002000000335")</f>
        <v>#NAME?</v>
      </c>
      <c r="G38" s="79" t="e">
        <f ca="1">入数("I","10101010002000000335")</f>
        <v>#NAME?</v>
      </c>
      <c r="H38" s="68" t="e">
        <f ca="1">入数("H","10101010002000000367")</f>
        <v>#NAME?</v>
      </c>
      <c r="I38" s="70" t="e">
        <f ca="1">入数("I","10101010002000000367")</f>
        <v>#NAME?</v>
      </c>
    </row>
    <row r="39" spans="1:9" ht="13.5" customHeight="1">
      <c r="A39" s="134"/>
      <c r="B39" s="64" t="e">
        <f ca="1">単価("H","10101010002000000274")</f>
        <v>#NAME?</v>
      </c>
      <c r="C39" s="62" t="e">
        <f ca="1">単価("I@","10101010002000000274")</f>
        <v>#NAME?</v>
      </c>
      <c r="D39" s="64" t="e">
        <f ca="1">単価("H","10101010002000000304")</f>
        <v>#NAME?</v>
      </c>
      <c r="E39" s="63" t="e">
        <f ca="1">単価("I@","10101010002000000304")</f>
        <v>#NAME?</v>
      </c>
      <c r="F39" s="48" t="e">
        <f ca="1">単価("H","10101010002000000335")</f>
        <v>#NAME?</v>
      </c>
      <c r="G39" s="49" t="e">
        <f ca="1">単価("I@","10101010002000000335")</f>
        <v>#NAME?</v>
      </c>
      <c r="H39" s="48" t="e">
        <f ca="1">単価("H","10101010002000000367")</f>
        <v>#NAME?</v>
      </c>
      <c r="I39" s="50" t="e">
        <f ca="1">単価("I@","10101010002000000367")</f>
        <v>#NAME?</v>
      </c>
    </row>
    <row r="40" spans="1:9" ht="13.5" customHeight="1">
      <c r="A40" s="128" t="s">
        <v>87</v>
      </c>
      <c r="B40" s="31"/>
      <c r="C40" s="35"/>
      <c r="D40" s="80" t="e">
        <f ca="1">入数("H","10101010002000000305")</f>
        <v>#NAME?</v>
      </c>
      <c r="E40" s="79" t="e">
        <f ca="1">入数("I","10101010002000000305")</f>
        <v>#NAME?</v>
      </c>
      <c r="F40" s="80"/>
      <c r="G40" s="79"/>
      <c r="H40" s="68"/>
      <c r="I40" s="70"/>
    </row>
    <row r="41" spans="1:9" ht="13.5" customHeight="1">
      <c r="A41" s="133"/>
      <c r="B41" s="17"/>
      <c r="C41" s="16"/>
      <c r="D41" s="48" t="e">
        <f ca="1">単価("H","10101010002000000305")</f>
        <v>#NAME?</v>
      </c>
      <c r="E41" s="49" t="e">
        <f ca="1">単価("I@","10101010002000000305")</f>
        <v>#NAME?</v>
      </c>
      <c r="F41" s="48"/>
      <c r="G41" s="49"/>
      <c r="H41" s="48"/>
      <c r="I41" s="50"/>
    </row>
    <row r="42" spans="1:9" ht="13.5" customHeight="1">
      <c r="A42" s="137" t="s">
        <v>36</v>
      </c>
      <c r="B42" s="80" t="e">
        <f ca="1">入数("H","10101010002000000275")</f>
        <v>#NAME?</v>
      </c>
      <c r="C42" s="79" t="e">
        <f ca="1">入数("I","10101010002000000275")</f>
        <v>#NAME?</v>
      </c>
      <c r="D42" s="80" t="e">
        <f ca="1">入数("H","10101010002000000306")</f>
        <v>#NAME?</v>
      </c>
      <c r="E42" s="82" t="e">
        <f ca="1">入数("I","10101010002000000306")</f>
        <v>#NAME?</v>
      </c>
      <c r="F42" s="80" t="e">
        <f ca="1">入数("H","10101010002000000336")</f>
        <v>#NAME?</v>
      </c>
      <c r="G42" s="79" t="e">
        <f ca="1">入数("I","10101010002000000336")</f>
        <v>#NAME?</v>
      </c>
      <c r="H42" s="80" t="e">
        <f ca="1">入数("H","10101010002000000368")</f>
        <v>#NAME?</v>
      </c>
      <c r="I42" s="71" t="e">
        <f ca="1">入数("I","10101010002000000368")</f>
        <v>#NAME?</v>
      </c>
    </row>
    <row r="43" spans="1:9" ht="13.5" customHeight="1">
      <c r="A43" s="133"/>
      <c r="B43" s="48" t="e">
        <f ca="1">単価("H","10101010002000000275")</f>
        <v>#NAME?</v>
      </c>
      <c r="C43" s="49" t="e">
        <f ca="1">単価("I@","10101010002000000275")</f>
        <v>#NAME?</v>
      </c>
      <c r="D43" s="48" t="e">
        <f ca="1">単価("H","10101010002000000306")</f>
        <v>#NAME?</v>
      </c>
      <c r="E43" s="66" t="e">
        <f ca="1">単価("I@","10101010002000000306")</f>
        <v>#NAME?</v>
      </c>
      <c r="F43" s="48" t="e">
        <f ca="1">単価("H","10101010002000000336")</f>
        <v>#NAME?</v>
      </c>
      <c r="G43" s="49" t="e">
        <f ca="1">単価("I@","10101010002000000336")</f>
        <v>#NAME?</v>
      </c>
      <c r="H43" s="48" t="e">
        <f ca="1">単価("H","10101010002000000368")</f>
        <v>#NAME?</v>
      </c>
      <c r="I43" s="50" t="e">
        <f ca="1">単価("I@","10101010002000000368")</f>
        <v>#NAME?</v>
      </c>
    </row>
    <row r="44" spans="1:9" ht="13.5" customHeight="1">
      <c r="A44" s="128" t="s">
        <v>37</v>
      </c>
      <c r="B44" s="80" t="e">
        <f ca="1">入数("H","10101010002000000276")</f>
        <v>#NAME?</v>
      </c>
      <c r="C44" s="79" t="e">
        <f ca="1">入数("I","10101010002000000276")</f>
        <v>#NAME?</v>
      </c>
      <c r="D44" s="80" t="e">
        <f ca="1">入数("H","10101010002000000307")</f>
        <v>#NAME?</v>
      </c>
      <c r="E44" s="82" t="e">
        <f ca="1">入数("I","10101010002000000307")</f>
        <v>#NAME?</v>
      </c>
      <c r="F44" s="80" t="e">
        <f ca="1">入数("H","10101010002000000337")</f>
        <v>#NAME?</v>
      </c>
      <c r="G44" s="79" t="e">
        <f ca="1">入数("I","10101010002000000337")</f>
        <v>#NAME?</v>
      </c>
      <c r="H44" s="80" t="e">
        <f ca="1">入数("H","10101010002000000369")</f>
        <v>#NAME?</v>
      </c>
      <c r="I44" s="71" t="e">
        <f ca="1">入数("I","10101010002000000369")</f>
        <v>#NAME?</v>
      </c>
    </row>
    <row r="45" spans="1:9" ht="13.5" customHeight="1">
      <c r="A45" s="133"/>
      <c r="B45" s="48" t="e">
        <f ca="1">単価("H","10101010002000000276")</f>
        <v>#NAME?</v>
      </c>
      <c r="C45" s="49" t="e">
        <f ca="1">単価("I@","10101010002000000276")</f>
        <v>#NAME?</v>
      </c>
      <c r="D45" s="48" t="e">
        <f ca="1">単価("H","10101010002000000307")</f>
        <v>#NAME?</v>
      </c>
      <c r="E45" s="66" t="e">
        <f ca="1">単価("I@","10101010002000000307")</f>
        <v>#NAME?</v>
      </c>
      <c r="F45" s="48" t="e">
        <f ca="1">単価("H","10101010002000000337")</f>
        <v>#NAME?</v>
      </c>
      <c r="G45" s="49" t="e">
        <f ca="1">単価("I@","10101010002000000337")</f>
        <v>#NAME?</v>
      </c>
      <c r="H45" s="48" t="e">
        <f ca="1">単価("H","10101010002000000369")</f>
        <v>#NAME?</v>
      </c>
      <c r="I45" s="50" t="e">
        <f ca="1">単価("I@","10101010002000000369")</f>
        <v>#NAME?</v>
      </c>
    </row>
    <row r="46" spans="1:9" ht="13.5" customHeight="1">
      <c r="A46" s="128" t="s">
        <v>38</v>
      </c>
      <c r="B46" s="80" t="e">
        <f ca="1">入数("H","10101010002000000277")</f>
        <v>#NAME?</v>
      </c>
      <c r="C46" s="79" t="e">
        <f ca="1">入数("I","10101010002000000277")</f>
        <v>#NAME?</v>
      </c>
      <c r="D46" s="80" t="e">
        <f ca="1">入数("H","10101010002000000308")</f>
        <v>#NAME?</v>
      </c>
      <c r="E46" s="82" t="e">
        <f ca="1">入数("I","10101010002000000308")</f>
        <v>#NAME?</v>
      </c>
      <c r="F46" s="80" t="e">
        <f ca="1">入数("H","10101010002000000338")</f>
        <v>#NAME?</v>
      </c>
      <c r="G46" s="79" t="e">
        <f ca="1">入数("I","10101010002000000338")</f>
        <v>#NAME?</v>
      </c>
      <c r="H46" s="80" t="e">
        <f ca="1">入数("H","10101010002000000370")</f>
        <v>#NAME?</v>
      </c>
      <c r="I46" s="71" t="e">
        <f ca="1">入数("I","10101010002000000370")</f>
        <v>#NAME?</v>
      </c>
    </row>
    <row r="47" spans="1:9" ht="13.5" customHeight="1">
      <c r="A47" s="133"/>
      <c r="B47" s="48" t="e">
        <f ca="1">単価("H","10101010002000000277")</f>
        <v>#NAME?</v>
      </c>
      <c r="C47" s="49" t="e">
        <f ca="1">単価("I@","10101010002000000277")</f>
        <v>#NAME?</v>
      </c>
      <c r="D47" s="48" t="e">
        <f ca="1">単価("H","10101010002000000308")</f>
        <v>#NAME?</v>
      </c>
      <c r="E47" s="66" t="e">
        <f ca="1">単価("I@","10101010002000000308")</f>
        <v>#NAME?</v>
      </c>
      <c r="F47" s="48" t="e">
        <f ca="1">単価("H","10101010002000000338")</f>
        <v>#NAME?</v>
      </c>
      <c r="G47" s="49" t="e">
        <f ca="1">単価("I@","10101010002000000338")</f>
        <v>#NAME?</v>
      </c>
      <c r="H47" s="48" t="e">
        <f ca="1">単価("H","10101010002000000370")</f>
        <v>#NAME?</v>
      </c>
      <c r="I47" s="50" t="e">
        <f ca="1">単価("I@","10101010002000000370")</f>
        <v>#NAME?</v>
      </c>
    </row>
    <row r="48" spans="1:9" ht="13.5" customHeight="1">
      <c r="A48" s="128" t="s">
        <v>39</v>
      </c>
      <c r="B48" s="80" t="e">
        <f ca="1">入数("H","10101010002000000278")</f>
        <v>#NAME?</v>
      </c>
      <c r="C48" s="79" t="e">
        <f ca="1">入数("I","10101010002000000278")</f>
        <v>#NAME?</v>
      </c>
      <c r="D48" s="80" t="e">
        <f ca="1">入数("H","10101010002000000309")</f>
        <v>#NAME?</v>
      </c>
      <c r="E48" s="82" t="e">
        <f ca="1">入数("I","10101010002000000309")</f>
        <v>#NAME?</v>
      </c>
      <c r="F48" s="80" t="e">
        <f ca="1">入数("H","10101010002000000339")</f>
        <v>#NAME?</v>
      </c>
      <c r="G48" s="79" t="e">
        <f ca="1">入数("I","10101010002000000339")</f>
        <v>#NAME?</v>
      </c>
      <c r="H48" s="80" t="e">
        <f ca="1">入数("H","10101010002000000371")</f>
        <v>#NAME?</v>
      </c>
      <c r="I48" s="71" t="e">
        <f ca="1">入数("I","10101010002000000371")</f>
        <v>#NAME?</v>
      </c>
    </row>
    <row r="49" spans="1:9" ht="13.5" customHeight="1">
      <c r="A49" s="133"/>
      <c r="B49" s="48" t="e">
        <f ca="1">単価("H","10101010002000000278")</f>
        <v>#NAME?</v>
      </c>
      <c r="C49" s="49" t="e">
        <f ca="1">単価("I@","10101010002000000278")</f>
        <v>#NAME?</v>
      </c>
      <c r="D49" s="48" t="e">
        <f ca="1">単価("H","10101010002000000309")</f>
        <v>#NAME?</v>
      </c>
      <c r="E49" s="66" t="e">
        <f ca="1">単価("I@","10101010002000000309")</f>
        <v>#NAME?</v>
      </c>
      <c r="F49" s="48" t="e">
        <f ca="1">単価("H","10101010002000000339")</f>
        <v>#NAME?</v>
      </c>
      <c r="G49" s="49" t="e">
        <f ca="1">単価("I@","10101010002000000339")</f>
        <v>#NAME?</v>
      </c>
      <c r="H49" s="48" t="e">
        <f ca="1">単価("H","10101010002000000371")</f>
        <v>#NAME?</v>
      </c>
      <c r="I49" s="50" t="e">
        <f ca="1">単価("I@","10101010002000000371")</f>
        <v>#NAME?</v>
      </c>
    </row>
    <row r="50" spans="1:9" ht="13.5" customHeight="1">
      <c r="A50" s="128" t="s">
        <v>40</v>
      </c>
      <c r="B50" s="80" t="e">
        <f ca="1">入数("H","10101010002000000279")</f>
        <v>#NAME?</v>
      </c>
      <c r="C50" s="79" t="e">
        <f ca="1">入数("I","10101010002000000279")</f>
        <v>#NAME?</v>
      </c>
      <c r="D50" s="80" t="e">
        <f ca="1">入数("H","10101010002000000310")</f>
        <v>#NAME?</v>
      </c>
      <c r="E50" s="82" t="e">
        <f ca="1">入数("I","10101010002000000310")</f>
        <v>#NAME?</v>
      </c>
      <c r="F50" s="80" t="e">
        <f ca="1">入数("H","10101010002000000340")</f>
        <v>#NAME?</v>
      </c>
      <c r="G50" s="79" t="e">
        <f ca="1">入数("I","10101010002000000340")</f>
        <v>#NAME?</v>
      </c>
      <c r="H50" s="80" t="e">
        <f ca="1">入数("H","10101010002000000372")</f>
        <v>#NAME?</v>
      </c>
      <c r="I50" s="71" t="e">
        <f ca="1">入数("I","10101010002000000372")</f>
        <v>#NAME?</v>
      </c>
    </row>
    <row r="51" spans="1:9" ht="13.5" customHeight="1">
      <c r="A51" s="133"/>
      <c r="B51" s="48" t="e">
        <f ca="1">単価("H","10101010002000000279")</f>
        <v>#NAME?</v>
      </c>
      <c r="C51" s="49" t="e">
        <f ca="1">単価("I@","10101010002000000279")</f>
        <v>#NAME?</v>
      </c>
      <c r="D51" s="48" t="e">
        <f ca="1">単価("H","10101010002000000310")</f>
        <v>#NAME?</v>
      </c>
      <c r="E51" s="66" t="e">
        <f ca="1">単価("I@","10101010002000000310")</f>
        <v>#NAME?</v>
      </c>
      <c r="F51" s="48" t="e">
        <f ca="1">単価("H","10101010002000000340")</f>
        <v>#NAME?</v>
      </c>
      <c r="G51" s="49" t="e">
        <f ca="1">単価("I@","10101010002000000340")</f>
        <v>#NAME?</v>
      </c>
      <c r="H51" s="48" t="e">
        <f ca="1">単価("H","10101010002000000372")</f>
        <v>#NAME?</v>
      </c>
      <c r="I51" s="50" t="e">
        <f ca="1">単価("I@","10101010002000000372")</f>
        <v>#NAME?</v>
      </c>
    </row>
    <row r="52" spans="1:9" ht="13.5" customHeight="1">
      <c r="A52" s="128" t="s">
        <v>41</v>
      </c>
      <c r="B52" s="80" t="e">
        <f ca="1">入数("H","10101010002000000280")</f>
        <v>#NAME?</v>
      </c>
      <c r="C52" s="79" t="e">
        <f ca="1">入数("I","10101010002000000280")</f>
        <v>#NAME?</v>
      </c>
      <c r="D52" s="80" t="e">
        <f ca="1">入数("H","10101010002000000311")</f>
        <v>#NAME?</v>
      </c>
      <c r="E52" s="82" t="e">
        <f ca="1">入数("I","10101010002000000311")</f>
        <v>#NAME?</v>
      </c>
      <c r="F52" s="80" t="e">
        <f ca="1">入数("H","10101010002000000341")</f>
        <v>#NAME?</v>
      </c>
      <c r="G52" s="79" t="e">
        <f ca="1">入数("I","10101010002000000341")</f>
        <v>#NAME?</v>
      </c>
      <c r="H52" s="80" t="e">
        <f ca="1">入数("H","10101010002000000373")</f>
        <v>#NAME?</v>
      </c>
      <c r="I52" s="71" t="e">
        <f ca="1">入数("I","10101010002000000373")</f>
        <v>#NAME?</v>
      </c>
    </row>
    <row r="53" spans="1:9" ht="13.5" customHeight="1">
      <c r="A53" s="133"/>
      <c r="B53" s="48" t="e">
        <f ca="1">単価("H","10101010002000000280")</f>
        <v>#NAME?</v>
      </c>
      <c r="C53" s="49" t="e">
        <f ca="1">単価("I@","10101010002000000280")</f>
        <v>#NAME?</v>
      </c>
      <c r="D53" s="48" t="e">
        <f ca="1">単価("H","10101010002000000311")</f>
        <v>#NAME?</v>
      </c>
      <c r="E53" s="66" t="e">
        <f ca="1">単価("I@","10101010002000000311")</f>
        <v>#NAME?</v>
      </c>
      <c r="F53" s="48" t="e">
        <f ca="1">単価("H","10101010002000000341")</f>
        <v>#NAME?</v>
      </c>
      <c r="G53" s="49" t="e">
        <f ca="1">単価("I@","10101010002000000341")</f>
        <v>#NAME?</v>
      </c>
      <c r="H53" s="48" t="e">
        <f ca="1">単価("H","10101010002000000373")</f>
        <v>#NAME?</v>
      </c>
      <c r="I53" s="50" t="e">
        <f ca="1">単価("I@","10101010002000000373")</f>
        <v>#NAME?</v>
      </c>
    </row>
    <row r="54" spans="1:9" ht="13.5" customHeight="1">
      <c r="A54" s="128" t="s">
        <v>42</v>
      </c>
      <c r="B54" s="80" t="e">
        <f ca="1">入数("H","10101010002000000281")</f>
        <v>#NAME?</v>
      </c>
      <c r="C54" s="79" t="e">
        <f ca="1">入数("I","10101010002000000281")</f>
        <v>#NAME?</v>
      </c>
      <c r="D54" s="80" t="e">
        <f ca="1">入数("H","10101010002000000312")</f>
        <v>#NAME?</v>
      </c>
      <c r="E54" s="82" t="e">
        <f ca="1">入数("I","10101010002000000312")</f>
        <v>#NAME?</v>
      </c>
      <c r="F54" s="80" t="e">
        <f ca="1">入数("H","10101010002000000342")</f>
        <v>#NAME?</v>
      </c>
      <c r="G54" s="79" t="e">
        <f ca="1">入数("I","10101010002000000342")</f>
        <v>#NAME?</v>
      </c>
      <c r="H54" s="80" t="e">
        <f ca="1">入数("H","10101010002000000374")</f>
        <v>#NAME?</v>
      </c>
      <c r="I54" s="71" t="e">
        <f ca="1">入数("I","10101010002000000374")</f>
        <v>#NAME?</v>
      </c>
    </row>
    <row r="55" spans="1:9" ht="13.5" customHeight="1">
      <c r="A55" s="129"/>
      <c r="B55" s="48" t="e">
        <f ca="1">単価("H","10101010002000000281")</f>
        <v>#NAME?</v>
      </c>
      <c r="C55" s="49" t="e">
        <f ca="1">単価("I@","10101010002000000281")</f>
        <v>#NAME?</v>
      </c>
      <c r="D55" s="48" t="e">
        <f ca="1">単価("H","10101010002000000312")</f>
        <v>#NAME?</v>
      </c>
      <c r="E55" s="66" t="e">
        <f ca="1">単価("I@","10101010002000000312")</f>
        <v>#NAME?</v>
      </c>
      <c r="F55" s="48" t="e">
        <f ca="1">単価("H","10101010002000000342")</f>
        <v>#NAME?</v>
      </c>
      <c r="G55" s="49" t="e">
        <f ca="1">単価("I@","10101010002000000342")</f>
        <v>#NAME?</v>
      </c>
      <c r="H55" s="48" t="e">
        <f ca="1">単価("H","10101010002000000374")</f>
        <v>#NAME?</v>
      </c>
      <c r="I55" s="50" t="e">
        <f ca="1">単価("I@","10101010002000000374")</f>
        <v>#NAME?</v>
      </c>
    </row>
    <row r="56" spans="1:9" ht="13.5" customHeight="1">
      <c r="A56" s="128" t="s">
        <v>43</v>
      </c>
      <c r="B56" s="80" t="e">
        <f ca="1">入数("H","10101010002000000282")</f>
        <v>#NAME?</v>
      </c>
      <c r="C56" s="79" t="e">
        <f ca="1">入数("I","10101010002000000282")</f>
        <v>#NAME?</v>
      </c>
      <c r="D56" s="80" t="e">
        <f ca="1">入数("H","10101010002000000313")</f>
        <v>#NAME?</v>
      </c>
      <c r="E56" s="82" t="e">
        <f ca="1">入数("I","10101010002000000313")</f>
        <v>#NAME?</v>
      </c>
      <c r="F56" s="80" t="e">
        <f ca="1">入数("H","10101010002000000343")</f>
        <v>#NAME?</v>
      </c>
      <c r="G56" s="79" t="e">
        <f ca="1">入数("I","10101010002000000343")</f>
        <v>#NAME?</v>
      </c>
      <c r="H56" s="80" t="e">
        <f ca="1">入数("H","10101010002000000375")</f>
        <v>#NAME?</v>
      </c>
      <c r="I56" s="71" t="e">
        <f ca="1">入数("I","10101010002000000375")</f>
        <v>#NAME?</v>
      </c>
    </row>
    <row r="57" spans="1:9" ht="13.5" customHeight="1">
      <c r="A57" s="129"/>
      <c r="B57" s="48" t="e">
        <f ca="1">単価("H","10101010002000000282")</f>
        <v>#NAME?</v>
      </c>
      <c r="C57" s="49" t="e">
        <f ca="1">単価("I@","10101010002000000282")</f>
        <v>#NAME?</v>
      </c>
      <c r="D57" s="48" t="e">
        <f ca="1">単価("H","10101010002000000313")</f>
        <v>#NAME?</v>
      </c>
      <c r="E57" s="66" t="e">
        <f ca="1">単価("I@","10101010002000000313")</f>
        <v>#NAME?</v>
      </c>
      <c r="F57" s="48" t="e">
        <f ca="1">単価("H","10101010002000000343")</f>
        <v>#NAME?</v>
      </c>
      <c r="G57" s="49" t="e">
        <f ca="1">単価("I@","10101010002000000343")</f>
        <v>#NAME?</v>
      </c>
      <c r="H57" s="48" t="e">
        <f ca="1">単価("H","10101010002000000375")</f>
        <v>#NAME?</v>
      </c>
      <c r="I57" s="50" t="e">
        <f ca="1">単価("I@","10101010002000000375")</f>
        <v>#NAME?</v>
      </c>
    </row>
    <row r="58" spans="1:9" ht="13.5" customHeight="1">
      <c r="A58" s="128" t="s">
        <v>44</v>
      </c>
      <c r="B58" s="80" t="e">
        <f ca="1">入数("H","10101010002000000283")</f>
        <v>#NAME?</v>
      </c>
      <c r="C58" s="79" t="e">
        <f ca="1">入数("I","10101010002000000283")</f>
        <v>#NAME?</v>
      </c>
      <c r="D58" s="80" t="e">
        <f ca="1">入数("H","10101010002000000314")</f>
        <v>#NAME?</v>
      </c>
      <c r="E58" s="82" t="e">
        <f ca="1">入数("I","10101010002000000314")</f>
        <v>#NAME?</v>
      </c>
      <c r="F58" s="80" t="e">
        <f ca="1">入数("H","10101010002000000344")</f>
        <v>#NAME?</v>
      </c>
      <c r="G58" s="79" t="e">
        <f ca="1">入数("I","10101010002000000344")</f>
        <v>#NAME?</v>
      </c>
      <c r="H58" s="80" t="e">
        <f ca="1">入数("H","10101010002000000376")</f>
        <v>#NAME?</v>
      </c>
      <c r="I58" s="71" t="e">
        <f ca="1">入数("I","10101010002000000376")</f>
        <v>#NAME?</v>
      </c>
    </row>
    <row r="59" spans="1:9" ht="13.5" customHeight="1">
      <c r="A59" s="129"/>
      <c r="B59" s="48" t="e">
        <f ca="1">単価("H","10101010002000000283")</f>
        <v>#NAME?</v>
      </c>
      <c r="C59" s="49" t="e">
        <f ca="1">単価("I@","10101010002000000283")</f>
        <v>#NAME?</v>
      </c>
      <c r="D59" s="48" t="e">
        <f ca="1">単価("H","10101010002000000314")</f>
        <v>#NAME?</v>
      </c>
      <c r="E59" s="66" t="e">
        <f ca="1">単価("I@","10101010002000000314")</f>
        <v>#NAME?</v>
      </c>
      <c r="F59" s="48" t="e">
        <f ca="1">単価("H","10101010002000000344")</f>
        <v>#NAME?</v>
      </c>
      <c r="G59" s="49" t="e">
        <f ca="1">単価("I@","10101010002000000344")</f>
        <v>#NAME?</v>
      </c>
      <c r="H59" s="48" t="e">
        <f ca="1">単価("H","10101010002000000376")</f>
        <v>#NAME?</v>
      </c>
      <c r="I59" s="50" t="e">
        <f ca="1">単価("I@","10101010002000000376")</f>
        <v>#NAME?</v>
      </c>
    </row>
    <row r="60" spans="1:9" ht="13.5" customHeight="1">
      <c r="A60" s="128" t="s">
        <v>45</v>
      </c>
      <c r="B60" s="80" t="e">
        <f ca="1">入数("H","10101010002000000284")</f>
        <v>#NAME?</v>
      </c>
      <c r="C60" s="79" t="e">
        <f ca="1">入数("I","10101010002000000284")</f>
        <v>#NAME?</v>
      </c>
      <c r="D60" s="80" t="e">
        <f ca="1">入数("H","10101010002000000315")</f>
        <v>#NAME?</v>
      </c>
      <c r="E60" s="82" t="e">
        <f ca="1">入数("I","10101010002000000315")</f>
        <v>#NAME?</v>
      </c>
      <c r="F60" s="80" t="e">
        <f ca="1">入数("H","10101010002000000345")</f>
        <v>#NAME?</v>
      </c>
      <c r="G60" s="79" t="e">
        <f ca="1">入数("I","10101010002000000345")</f>
        <v>#NAME?</v>
      </c>
      <c r="H60" s="80" t="e">
        <f ca="1">入数("H","10101010002000000377")</f>
        <v>#NAME?</v>
      </c>
      <c r="I60" s="71" t="e">
        <f ca="1">入数("I","10101010002000000377")</f>
        <v>#NAME?</v>
      </c>
    </row>
    <row r="61" spans="1:9" ht="13.5" customHeight="1" thickBot="1">
      <c r="A61" s="135"/>
      <c r="B61" s="51" t="e">
        <f ca="1">単価("H","10101010002000000284")</f>
        <v>#NAME?</v>
      </c>
      <c r="C61" s="52" t="e">
        <f ca="1">単価("I@","10101010002000000284")</f>
        <v>#NAME?</v>
      </c>
      <c r="D61" s="51" t="e">
        <f ca="1">単価("H","10101010002000000315")</f>
        <v>#NAME?</v>
      </c>
      <c r="E61" s="95" t="e">
        <f ca="1">単価("I@","10101010002000000315")</f>
        <v>#NAME?</v>
      </c>
      <c r="F61" s="54" t="e">
        <f ca="1">単価("H","10101010002000000345")</f>
        <v>#NAME?</v>
      </c>
      <c r="G61" s="55" t="e">
        <f ca="1">単価("I@","10101010002000000345")</f>
        <v>#NAME?</v>
      </c>
      <c r="H61" s="54" t="e">
        <f ca="1">単価("H","10101010002000000377")</f>
        <v>#NAME?</v>
      </c>
      <c r="I61" s="56" t="e">
        <f ca="1">単価("I@","10101010002000000377")</f>
        <v>#NAME?</v>
      </c>
    </row>
  </sheetData>
  <mergeCells count="46">
    <mergeCell ref="A2:K2"/>
    <mergeCell ref="I4:K4"/>
    <mergeCell ref="I14:K14"/>
    <mergeCell ref="H3:I3"/>
    <mergeCell ref="H16:I16"/>
    <mergeCell ref="F16:G16"/>
    <mergeCell ref="H6:J6"/>
    <mergeCell ref="H17:I17"/>
    <mergeCell ref="H18:I18"/>
    <mergeCell ref="H19:I19"/>
    <mergeCell ref="F20:G20"/>
    <mergeCell ref="H20:I20"/>
    <mergeCell ref="F18:G18"/>
    <mergeCell ref="F17:G17"/>
    <mergeCell ref="A60:A61"/>
    <mergeCell ref="A50:A51"/>
    <mergeCell ref="A52:A53"/>
    <mergeCell ref="A54:A55"/>
    <mergeCell ref="A56:A57"/>
    <mergeCell ref="A58:A59"/>
    <mergeCell ref="A40:A41"/>
    <mergeCell ref="A42:A43"/>
    <mergeCell ref="A44:A45"/>
    <mergeCell ref="A46:A47"/>
    <mergeCell ref="A48:A49"/>
    <mergeCell ref="D20:E20"/>
    <mergeCell ref="F19:G19"/>
    <mergeCell ref="A38:A39"/>
    <mergeCell ref="A30:A31"/>
    <mergeCell ref="A32:A33"/>
    <mergeCell ref="A34:A35"/>
    <mergeCell ref="A36:A37"/>
    <mergeCell ref="D19:E19"/>
    <mergeCell ref="B19:C19"/>
    <mergeCell ref="A22:A23"/>
    <mergeCell ref="A24:A25"/>
    <mergeCell ref="A26:A27"/>
    <mergeCell ref="A28:A29"/>
    <mergeCell ref="B20:C20"/>
    <mergeCell ref="B18:C18"/>
    <mergeCell ref="D18:E18"/>
    <mergeCell ref="A4:C4"/>
    <mergeCell ref="B17:C17"/>
    <mergeCell ref="D17:E17"/>
    <mergeCell ref="B16:C16"/>
    <mergeCell ref="D16:E16"/>
  </mergeCells>
  <phoneticPr fontId="1"/>
  <printOptions horizontalCentered="1"/>
  <pageMargins left="0" right="0" top="0.59055118110236227" bottom="0" header="0" footer="0"/>
  <pageSetup paperSize="9" orientation="portrait" horizontalDpi="4294967293" r:id="rId1"/>
  <headerFooter alignWithMargins="0">
    <oddFooter>&amp;L&amp;9P1A011&amp;R&amp;9&amp;D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62"/>
  <sheetViews>
    <sheetView showZeros="0" workbookViewId="0">
      <selection activeCell="K11" sqref="K11"/>
    </sheetView>
  </sheetViews>
  <sheetFormatPr defaultRowHeight="13.5" customHeight="1"/>
  <cols>
    <col min="1" max="1" width="8.625" style="25" customWidth="1"/>
    <col min="2" max="11" width="7.875" style="12" customWidth="1"/>
    <col min="12" max="16384" width="9" style="12"/>
  </cols>
  <sheetData>
    <row r="1" spans="1:15" ht="13.5" customHeight="1">
      <c r="A1" s="111"/>
    </row>
    <row r="2" spans="1:15" ht="18.75">
      <c r="A2" s="141" t="e">
        <f ca="1">タイトル()</f>
        <v>#NAME?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5" ht="13.5" customHeight="1">
      <c r="A3" s="38"/>
      <c r="B3" s="38"/>
      <c r="C3" s="38"/>
      <c r="D3" s="38"/>
      <c r="E3" s="38"/>
      <c r="F3" s="38"/>
      <c r="G3" s="38"/>
      <c r="H3" s="126" t="e">
        <f ca="1">コメント()</f>
        <v>#NAME?</v>
      </c>
      <c r="I3" s="126"/>
      <c r="J3" s="126"/>
      <c r="K3" s="126"/>
    </row>
    <row r="4" spans="1:15" ht="27" customHeight="1">
      <c r="A4" s="127" t="e">
        <f ca="1">得意先()</f>
        <v>#NAME?</v>
      </c>
      <c r="B4" s="127"/>
      <c r="C4" s="127"/>
      <c r="D4" s="9" t="s">
        <v>14</v>
      </c>
      <c r="E4" s="8"/>
      <c r="F4" s="8"/>
      <c r="G4" s="8"/>
      <c r="H4" s="30" t="s">
        <v>0</v>
      </c>
      <c r="I4" s="143" t="e">
        <f ca="1">実施日()</f>
        <v>#NAME?</v>
      </c>
      <c r="J4" s="143"/>
      <c r="K4" s="143"/>
    </row>
    <row r="5" spans="1:15" ht="13.5" customHeight="1">
      <c r="A5" s="10"/>
      <c r="B5" s="10"/>
      <c r="C5" s="10"/>
      <c r="D5" s="10"/>
      <c r="E5" s="10"/>
      <c r="F5" s="8"/>
      <c r="G5" s="8"/>
      <c r="H5" s="10"/>
      <c r="I5" s="8"/>
      <c r="J5" s="8"/>
      <c r="K5" s="8"/>
    </row>
    <row r="6" spans="1:15" ht="13.5" customHeight="1">
      <c r="A6" s="1"/>
      <c r="B6" s="1"/>
      <c r="C6" s="1"/>
      <c r="D6" s="1"/>
      <c r="E6" s="1"/>
      <c r="F6" s="8"/>
      <c r="G6" s="8"/>
      <c r="H6" s="1"/>
      <c r="I6" s="117" t="s">
        <v>5</v>
      </c>
      <c r="J6" s="117"/>
      <c r="K6" s="117"/>
    </row>
    <row r="7" spans="1:15" ht="13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5" ht="13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5" ht="13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5" ht="13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5" ht="13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5" ht="13.5" customHeight="1">
      <c r="A12" s="6" t="s">
        <v>18</v>
      </c>
      <c r="B12" s="5"/>
      <c r="C12" s="5"/>
      <c r="D12" s="1"/>
      <c r="E12" s="1"/>
      <c r="F12" s="1"/>
      <c r="G12" s="1"/>
    </row>
    <row r="13" spans="1:15" ht="13.5" customHeight="1">
      <c r="A13" s="6" t="s">
        <v>19</v>
      </c>
      <c r="B13" s="5"/>
      <c r="C13" s="5"/>
      <c r="D13" s="1"/>
      <c r="E13" s="1"/>
      <c r="F13" s="1"/>
      <c r="G13" s="1"/>
      <c r="H13" s="1"/>
      <c r="J13" s="1"/>
      <c r="K13" s="1"/>
    </row>
    <row r="14" spans="1:15" ht="13.5" customHeight="1">
      <c r="B14" s="6" t="s">
        <v>90</v>
      </c>
      <c r="C14" s="5"/>
      <c r="D14" s="1"/>
      <c r="E14" s="1"/>
      <c r="F14" s="1"/>
      <c r="G14" s="1"/>
      <c r="H14" s="1" t="s">
        <v>85</v>
      </c>
      <c r="I14" s="124" t="e">
        <f ca="1">改正日()</f>
        <v>#NAME?</v>
      </c>
      <c r="J14" s="125"/>
      <c r="K14" s="125"/>
    </row>
    <row r="15" spans="1:15" ht="13.5" customHeight="1" thickBot="1">
      <c r="A15" s="26"/>
      <c r="B15" s="1"/>
      <c r="C15" s="1"/>
      <c r="D15" s="1"/>
      <c r="E15" s="1"/>
      <c r="F15" s="1"/>
      <c r="G15" s="1"/>
      <c r="H15" s="1"/>
      <c r="I15" s="1"/>
      <c r="J15" s="1"/>
      <c r="K15" s="1"/>
      <c r="O15" s="110"/>
    </row>
    <row r="16" spans="1:15" ht="16.5" customHeight="1">
      <c r="A16" s="7"/>
      <c r="B16" s="142" t="s">
        <v>82</v>
      </c>
      <c r="C16" s="119"/>
      <c r="D16" s="118" t="s">
        <v>83</v>
      </c>
      <c r="E16" s="119"/>
      <c r="F16" s="118" t="s">
        <v>84</v>
      </c>
      <c r="G16" s="120"/>
    </row>
    <row r="17" spans="1:7" ht="13.5" customHeight="1">
      <c r="A17" s="27" t="s">
        <v>86</v>
      </c>
      <c r="B17" s="150" t="s">
        <v>75</v>
      </c>
      <c r="C17" s="116"/>
      <c r="D17" s="113" t="s">
        <v>76</v>
      </c>
      <c r="E17" s="116"/>
      <c r="F17" s="115">
        <v>11</v>
      </c>
      <c r="G17" s="121"/>
    </row>
    <row r="18" spans="1:7" ht="13.5" customHeight="1">
      <c r="A18" s="27" t="s">
        <v>69</v>
      </c>
      <c r="B18" s="150" t="s">
        <v>77</v>
      </c>
      <c r="C18" s="116"/>
      <c r="D18" s="113" t="s">
        <v>78</v>
      </c>
      <c r="E18" s="116"/>
      <c r="F18" s="115">
        <v>26</v>
      </c>
      <c r="G18" s="121"/>
    </row>
    <row r="19" spans="1:7" ht="13.5" customHeight="1">
      <c r="A19" s="27" t="s">
        <v>72</v>
      </c>
      <c r="B19" s="149">
        <v>19.600000000000001</v>
      </c>
      <c r="C19" s="116"/>
      <c r="D19" s="115">
        <v>24.2</v>
      </c>
      <c r="E19" s="116"/>
      <c r="F19" s="115">
        <v>30</v>
      </c>
      <c r="G19" s="121"/>
    </row>
    <row r="20" spans="1:7" ht="13.5" customHeight="1">
      <c r="A20" s="27" t="s">
        <v>79</v>
      </c>
      <c r="B20" s="146" t="s">
        <v>80</v>
      </c>
      <c r="C20" s="147"/>
      <c r="D20" s="148" t="s">
        <v>81</v>
      </c>
      <c r="E20" s="147"/>
      <c r="F20" s="144">
        <v>11</v>
      </c>
      <c r="G20" s="145"/>
    </row>
    <row r="21" spans="1:7" ht="13.5" customHeight="1" thickBot="1">
      <c r="A21" s="28"/>
      <c r="B21" s="109" t="e">
        <f ca="1">IF($A$2="【売原価表】","原価",IF($A$2="【建値表】","建値","ケース"))</f>
        <v>#NAME?</v>
      </c>
      <c r="C21" s="41" t="e">
        <f ca="1">IF($A$2="【売原価表】","情報",IF($A$2="【建値表】","","小箱"))</f>
        <v>#NAME?</v>
      </c>
      <c r="D21" s="44" t="e">
        <f ca="1">IF($A$2="【売原価表】","原価",IF($A$2="【建値表】","建値","ケース"))</f>
        <v>#NAME?</v>
      </c>
      <c r="E21" s="45" t="e">
        <f ca="1">IF($A$2="【売原価表】","情報",IF($A$2="【建値表】","","小箱"))</f>
        <v>#NAME?</v>
      </c>
      <c r="F21" s="44" t="e">
        <f ca="1">IF($A$2="【売原価表】","原価",IF($A$2="【建値表】","建値","ケース"))</f>
        <v>#NAME?</v>
      </c>
      <c r="G21" s="46" t="e">
        <f ca="1">IF($A$2="【売原価表】","情報",IF($A$2="【建値表】","","小箱"))</f>
        <v>#NAME?</v>
      </c>
    </row>
    <row r="22" spans="1:7" ht="13.5" customHeight="1">
      <c r="A22" s="128" t="s">
        <v>2</v>
      </c>
      <c r="B22" s="72" t="e">
        <f ca="1">入数("H","10101010002000000412")</f>
        <v>#NAME?</v>
      </c>
      <c r="C22" s="69" t="e">
        <f ca="1">入数("I","10101010002000000412")</f>
        <v>#NAME?</v>
      </c>
      <c r="D22" s="68"/>
      <c r="E22" s="81"/>
      <c r="F22" s="73"/>
      <c r="G22" s="84"/>
    </row>
    <row r="23" spans="1:7" ht="13.5" customHeight="1">
      <c r="A23" s="129"/>
      <c r="B23" s="57" t="e">
        <f ca="1">単価("H","10101010002000000412")</f>
        <v>#NAME?</v>
      </c>
      <c r="C23" s="49" t="e">
        <f ca="1">単価("I@","10101010002000000412")</f>
        <v>#NAME?</v>
      </c>
      <c r="D23" s="48"/>
      <c r="E23" s="66"/>
      <c r="F23" s="59"/>
      <c r="G23" s="50"/>
    </row>
    <row r="24" spans="1:7" ht="13.5" customHeight="1">
      <c r="A24" s="128" t="s">
        <v>3</v>
      </c>
      <c r="B24" s="83" t="e">
        <f ca="1">入数("H","10101010002000000413")</f>
        <v>#NAME?</v>
      </c>
      <c r="C24" s="79" t="e">
        <f ca="1">入数("I","10101010002000000413")</f>
        <v>#NAME?</v>
      </c>
      <c r="D24" s="80" t="e">
        <f ca="1">入数("H","10101010002000000382")</f>
        <v>#NAME?</v>
      </c>
      <c r="E24" s="82" t="e">
        <f ca="1">入数("I","10101010002000000382")</f>
        <v>#NAME?</v>
      </c>
      <c r="F24" s="102"/>
      <c r="G24" s="71"/>
    </row>
    <row r="25" spans="1:7" ht="13.5" customHeight="1">
      <c r="A25" s="129"/>
      <c r="B25" s="57" t="e">
        <f ca="1">単価("H","10101010002000000413")</f>
        <v>#NAME?</v>
      </c>
      <c r="C25" s="49" t="e">
        <f ca="1">単価("I@","10101010002000000413")</f>
        <v>#NAME?</v>
      </c>
      <c r="D25" s="48" t="e">
        <f ca="1">単価("H","10101010002000000382")</f>
        <v>#NAME?</v>
      </c>
      <c r="E25" s="66" t="e">
        <f ca="1">単価("I@","10101010002000000382")</f>
        <v>#NAME?</v>
      </c>
      <c r="F25" s="103"/>
      <c r="G25" s="104"/>
    </row>
    <row r="26" spans="1:7" ht="13.5" customHeight="1">
      <c r="A26" s="128" t="s">
        <v>4</v>
      </c>
      <c r="B26" s="83" t="e">
        <f ca="1">入数("H","10101010002000000414")</f>
        <v>#NAME?</v>
      </c>
      <c r="C26" s="79" t="e">
        <f ca="1">入数("I","10101010002000000414")</f>
        <v>#NAME?</v>
      </c>
      <c r="D26" s="80" t="e">
        <f ca="1">入数("H","10101010002000000383")</f>
        <v>#NAME?</v>
      </c>
      <c r="E26" s="79" t="e">
        <f ca="1">入数("I","10101010002000000383")</f>
        <v>#NAME?</v>
      </c>
      <c r="F26" s="68" t="e">
        <f ca="1">入数("H","10101010002000000428")</f>
        <v>#NAME?</v>
      </c>
      <c r="G26" s="70" t="e">
        <f ca="1">入数("I","10101010002000000428")</f>
        <v>#NAME?</v>
      </c>
    </row>
    <row r="27" spans="1:7" ht="13.5" customHeight="1">
      <c r="A27" s="129"/>
      <c r="B27" s="57" t="e">
        <f ca="1">単価("H","10101010002000000414")</f>
        <v>#NAME?</v>
      </c>
      <c r="C27" s="49" t="e">
        <f ca="1">単価("I@","10101010002000000414")</f>
        <v>#NAME?</v>
      </c>
      <c r="D27" s="48" t="e">
        <f ca="1">単価("H","10101010002000000383")</f>
        <v>#NAME?</v>
      </c>
      <c r="E27" s="49" t="e">
        <f ca="1">単価("I@","10101010002000000383")</f>
        <v>#NAME?</v>
      </c>
      <c r="F27" s="48" t="e">
        <f ca="1">単価("H","10101010002000000428")</f>
        <v>#NAME?</v>
      </c>
      <c r="G27" s="50" t="e">
        <f ca="1">単価("I@","10101010002000000428")</f>
        <v>#NAME?</v>
      </c>
    </row>
    <row r="28" spans="1:7" ht="13.5" customHeight="1">
      <c r="A28" s="128" t="s">
        <v>7</v>
      </c>
      <c r="B28" s="80"/>
      <c r="C28" s="79"/>
      <c r="D28" s="80" t="e">
        <f ca="1">入数("H","10101010002000000384")</f>
        <v>#NAME?</v>
      </c>
      <c r="E28" s="79" t="e">
        <f ca="1">入数("I","10101010002000000384")</f>
        <v>#NAME?</v>
      </c>
      <c r="F28" s="80" t="e">
        <f ca="1">入数("H","10101010002000000429")</f>
        <v>#NAME?</v>
      </c>
      <c r="G28" s="71" t="e">
        <f ca="1">入数("I","10101010002000000429")</f>
        <v>#NAME?</v>
      </c>
    </row>
    <row r="29" spans="1:7" ht="13.5" customHeight="1">
      <c r="A29" s="129"/>
      <c r="B29" s="48"/>
      <c r="C29" s="49"/>
      <c r="D29" s="48" t="e">
        <f ca="1">単価("H","10101010002000000384")</f>
        <v>#NAME?</v>
      </c>
      <c r="E29" s="49" t="e">
        <f ca="1">単価("I@","10101010002000000384")</f>
        <v>#NAME?</v>
      </c>
      <c r="F29" s="48" t="e">
        <f ca="1">単価("H","10101010002000000429")</f>
        <v>#NAME?</v>
      </c>
      <c r="G29" s="50" t="e">
        <f ca="1">単価("I@","10101010002000000429")</f>
        <v>#NAME?</v>
      </c>
    </row>
    <row r="30" spans="1:7" ht="13.5" customHeight="1">
      <c r="A30" s="128" t="s">
        <v>8</v>
      </c>
      <c r="B30" s="80"/>
      <c r="C30" s="79"/>
      <c r="D30" s="80"/>
      <c r="E30" s="79"/>
      <c r="F30" s="80" t="e">
        <f ca="1">入数("H","10101010002000000430")</f>
        <v>#NAME?</v>
      </c>
      <c r="G30" s="71" t="e">
        <f ca="1">入数("I","10101010002000000430")</f>
        <v>#NAME?</v>
      </c>
    </row>
    <row r="31" spans="1:7" ht="13.5" customHeight="1">
      <c r="A31" s="129"/>
      <c r="B31" s="48"/>
      <c r="C31" s="49"/>
      <c r="D31" s="48"/>
      <c r="E31" s="49"/>
      <c r="F31" s="48" t="e">
        <f ca="1">単価("H","10101010002000000430")</f>
        <v>#NAME?</v>
      </c>
      <c r="G31" s="50" t="e">
        <f ca="1">単価("I@","10101010002000000430")</f>
        <v>#NAME?</v>
      </c>
    </row>
    <row r="32" spans="1:7" ht="13.5" customHeight="1">
      <c r="A32" s="128" t="s">
        <v>9</v>
      </c>
      <c r="B32" s="80"/>
      <c r="C32" s="79"/>
      <c r="D32" s="80"/>
      <c r="E32" s="79"/>
      <c r="F32" s="80" t="e">
        <f ca="1">入数("H","10101010002000000431")</f>
        <v>#NAME?</v>
      </c>
      <c r="G32" s="71" t="e">
        <f ca="1">入数("I","10101010002000000431")</f>
        <v>#NAME?</v>
      </c>
    </row>
    <row r="33" spans="1:11" ht="13.5" customHeight="1">
      <c r="A33" s="129"/>
      <c r="B33" s="48"/>
      <c r="C33" s="49"/>
      <c r="D33" s="48"/>
      <c r="E33" s="49"/>
      <c r="F33" s="48" t="e">
        <f ca="1">単価("H","10101010002000000431")</f>
        <v>#NAME?</v>
      </c>
      <c r="G33" s="50" t="e">
        <f ca="1">単価("I@","10101010002000000431")</f>
        <v>#NAME?</v>
      </c>
    </row>
    <row r="34" spans="1:11" ht="13.5" customHeight="1">
      <c r="A34" s="128" t="s">
        <v>10</v>
      </c>
      <c r="B34" s="80"/>
      <c r="C34" s="79"/>
      <c r="D34" s="80"/>
      <c r="E34" s="79"/>
      <c r="F34" s="80" t="e">
        <f ca="1">入数("H","10101010002000000432")</f>
        <v>#NAME?</v>
      </c>
      <c r="G34" s="71" t="e">
        <f ca="1">入数("I","10101010002000000432")</f>
        <v>#NAME?</v>
      </c>
    </row>
    <row r="35" spans="1:11" ht="13.5" customHeight="1">
      <c r="A35" s="129"/>
      <c r="B35" s="48"/>
      <c r="C35" s="49"/>
      <c r="D35" s="48"/>
      <c r="E35" s="49"/>
      <c r="F35" s="48" t="e">
        <f ca="1">単価("H","10101010002000000432")</f>
        <v>#NAME?</v>
      </c>
      <c r="G35" s="50" t="e">
        <f ca="1">単価("I@","10101010002000000432")</f>
        <v>#NAME?</v>
      </c>
    </row>
    <row r="36" spans="1:11" ht="13.5" customHeight="1">
      <c r="A36" s="128" t="s">
        <v>11</v>
      </c>
      <c r="B36" s="80"/>
      <c r="C36" s="79"/>
      <c r="D36" s="80"/>
      <c r="E36" s="79"/>
      <c r="F36" s="80" t="e">
        <f ca="1">入数("H","10101010002000000433")</f>
        <v>#NAME?</v>
      </c>
      <c r="G36" s="71" t="e">
        <f ca="1">入数("I","10101010002000000433")</f>
        <v>#NAME?</v>
      </c>
    </row>
    <row r="37" spans="1:11" ht="13.5" customHeight="1" thickBot="1">
      <c r="A37" s="135"/>
      <c r="B37" s="51"/>
      <c r="C37" s="52"/>
      <c r="D37" s="51"/>
      <c r="E37" s="52"/>
      <c r="F37" s="51" t="e">
        <f ca="1">単価("H","10101010002000000433")</f>
        <v>#NAME?</v>
      </c>
      <c r="G37" s="53" t="e">
        <f ca="1">単価("I@","10101010002000000433")</f>
        <v>#NAME?</v>
      </c>
    </row>
    <row r="38" spans="1:11" ht="13.5" customHeight="1">
      <c r="A38" s="26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 ht="13.5" customHeight="1">
      <c r="A39" s="26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 ht="13.5" customHeight="1">
      <c r="A40" s="26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 ht="13.5" customHeight="1">
      <c r="A41" s="26"/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42" spans="1:11" ht="13.5" customHeight="1">
      <c r="A42" s="26"/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1:11" ht="13.5" customHeight="1">
      <c r="A43" s="26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 ht="13.5" customHeight="1">
      <c r="A44" s="26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1" ht="13.5" customHeight="1">
      <c r="A45" s="26"/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11" ht="13.5" customHeight="1">
      <c r="A46" s="26"/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1" ht="13.5" customHeight="1">
      <c r="A47" s="26"/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1" ht="13.5" customHeight="1">
      <c r="A48" s="26"/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ht="13.5" customHeight="1">
      <c r="A49" s="26"/>
      <c r="B49" s="24"/>
      <c r="C49" s="24"/>
      <c r="D49" s="24"/>
      <c r="E49" s="24"/>
      <c r="F49" s="24"/>
      <c r="G49" s="24"/>
      <c r="H49" s="24"/>
      <c r="I49" s="24"/>
      <c r="J49" s="24"/>
      <c r="K49" s="24"/>
    </row>
    <row r="50" spans="1:11" ht="13.5" customHeight="1">
      <c r="A50" s="26"/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 ht="13.5" customHeight="1">
      <c r="A51" s="26"/>
      <c r="B51" s="24"/>
      <c r="C51" s="24"/>
      <c r="D51" s="24"/>
      <c r="E51" s="24"/>
      <c r="F51" s="24"/>
      <c r="G51" s="24"/>
      <c r="H51" s="24"/>
      <c r="I51" s="24"/>
      <c r="J51" s="24"/>
      <c r="K51" s="24"/>
    </row>
    <row r="52" spans="1:11" ht="13.5" customHeight="1">
      <c r="A52" s="26"/>
      <c r="B52" s="24"/>
      <c r="C52" s="24"/>
      <c r="D52" s="24"/>
      <c r="E52" s="24"/>
      <c r="F52" s="24"/>
      <c r="G52" s="24"/>
      <c r="H52" s="24"/>
      <c r="I52" s="24"/>
      <c r="J52" s="24"/>
      <c r="K52" s="24"/>
    </row>
    <row r="53" spans="1:11" ht="13.5" customHeight="1">
      <c r="A53" s="26"/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4" spans="1:11" ht="13.5" customHeight="1">
      <c r="A54" s="26"/>
      <c r="B54" s="24"/>
      <c r="C54" s="24"/>
      <c r="D54" s="24"/>
      <c r="E54" s="24"/>
      <c r="F54" s="24"/>
      <c r="G54" s="24"/>
      <c r="H54" s="24"/>
      <c r="I54" s="24"/>
      <c r="J54" s="24"/>
      <c r="K54" s="24"/>
    </row>
    <row r="55" spans="1:11" ht="13.5" customHeight="1">
      <c r="A55" s="26"/>
      <c r="B55" s="24"/>
      <c r="C55" s="24"/>
      <c r="D55" s="24"/>
      <c r="E55" s="24"/>
      <c r="F55" s="24"/>
      <c r="G55" s="24"/>
      <c r="H55" s="24"/>
      <c r="I55" s="24"/>
      <c r="J55" s="24"/>
      <c r="K55" s="24"/>
    </row>
    <row r="56" spans="1:11" ht="13.5" customHeight="1">
      <c r="A56" s="26"/>
      <c r="B56" s="24"/>
      <c r="C56" s="24"/>
      <c r="D56" s="24"/>
      <c r="E56" s="24"/>
      <c r="F56" s="24"/>
      <c r="G56" s="24"/>
      <c r="H56" s="24"/>
      <c r="I56" s="24"/>
      <c r="J56" s="24"/>
      <c r="K56" s="24"/>
    </row>
    <row r="57" spans="1:11" ht="13.5" customHeight="1">
      <c r="A57" s="26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3.5" customHeight="1">
      <c r="A58" s="26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3.5" customHeight="1">
      <c r="A59" s="26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3.5" customHeight="1">
      <c r="A60" s="26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3.5" customHeight="1">
      <c r="A61" s="26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3.5" customHeight="1">
      <c r="A62" s="26"/>
      <c r="B62" s="1"/>
      <c r="C62" s="1"/>
      <c r="D62" s="1"/>
      <c r="E62" s="1"/>
      <c r="F62" s="1"/>
      <c r="G62" s="1"/>
      <c r="H62" s="1"/>
      <c r="I62" s="1"/>
      <c r="J62" s="1"/>
      <c r="K62" s="1"/>
    </row>
  </sheetData>
  <mergeCells count="29">
    <mergeCell ref="B18:C18"/>
    <mergeCell ref="D18:E18"/>
    <mergeCell ref="F18:G18"/>
    <mergeCell ref="B17:C17"/>
    <mergeCell ref="D17:E17"/>
    <mergeCell ref="F17:G17"/>
    <mergeCell ref="A32:A33"/>
    <mergeCell ref="A34:A35"/>
    <mergeCell ref="A36:A37"/>
    <mergeCell ref="F20:G20"/>
    <mergeCell ref="F19:G19"/>
    <mergeCell ref="B20:C20"/>
    <mergeCell ref="D20:E20"/>
    <mergeCell ref="B19:C19"/>
    <mergeCell ref="D19:E19"/>
    <mergeCell ref="A28:A29"/>
    <mergeCell ref="A30:A31"/>
    <mergeCell ref="A22:A23"/>
    <mergeCell ref="A24:A25"/>
    <mergeCell ref="A26:A27"/>
    <mergeCell ref="A2:K2"/>
    <mergeCell ref="B16:C16"/>
    <mergeCell ref="D16:E16"/>
    <mergeCell ref="F16:G16"/>
    <mergeCell ref="I6:K6"/>
    <mergeCell ref="I14:K14"/>
    <mergeCell ref="A4:C4"/>
    <mergeCell ref="I4:K4"/>
    <mergeCell ref="H3:K3"/>
  </mergeCells>
  <phoneticPr fontId="1"/>
  <printOptions horizontalCentered="1"/>
  <pageMargins left="0" right="0" top="0.59055118110236227" bottom="0" header="0" footer="0"/>
  <pageSetup paperSize="9" orientation="portrait" horizontalDpi="4294967293" r:id="rId1"/>
  <headerFooter alignWithMargins="0">
    <oddFooter>&amp;L&amp;9P1A011&amp;R&amp;9&amp;D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価格表１</vt:lpstr>
      <vt:lpstr>価格表２</vt:lpstr>
      <vt:lpstr>価格表３</vt:lpstr>
      <vt:lpstr>価格表１!Print_Area</vt:lpstr>
      <vt:lpstr>価格表２!Print_Area</vt:lpstr>
      <vt:lpstr>価格表３!Print_Area</vt:lpstr>
    </vt:vector>
  </TitlesOfParts>
  <Company>三笠鋲螺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三笠鋲螺</dc:creator>
  <cp:lastModifiedBy>kikaku</cp:lastModifiedBy>
  <cp:lastPrinted>2019-04-25T01:00:08Z</cp:lastPrinted>
  <dcterms:created xsi:type="dcterms:W3CDTF">1998-06-17T02:05:50Z</dcterms:created>
  <dcterms:modified xsi:type="dcterms:W3CDTF">2019-07-12T07:04:02Z</dcterms:modified>
</cp:coreProperties>
</file>